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357" activeTab="2"/>
  </bookViews>
  <sheets>
    <sheet name="Prognoza" sheetId="1" r:id="rId1"/>
    <sheet name="Startowa" sheetId="2" r:id="rId2"/>
    <sheet name="Przedsięwzięcia" sheetId="3" r:id="rId3"/>
    <sheet name="Ciągłość" sheetId="4" r:id="rId4"/>
  </sheets>
  <definedNames>
    <definedName name="_xlnm.Print_Area" localSheetId="3">'Ciągłość'!$A$1:$S$17</definedName>
    <definedName name="_xlnm.Print_Area" localSheetId="0">'Prognoza'!$A$1:$R$78</definedName>
    <definedName name="_xlnm.Print_Area" localSheetId="2">'Przedsięwzięcia'!$A$1:$T$38</definedName>
    <definedName name="_xlnm.Print_Area" localSheetId="1">'Startowa'!$A$1:$D$22</definedName>
    <definedName name="_xlnm.Print_Titles" localSheetId="0">'Prognoza'!$6:$6</definedName>
  </definedNames>
  <calcPr fullCalcOnLoad="1"/>
</workbook>
</file>

<file path=xl/sharedStrings.xml><?xml version="1.0" encoding="utf-8"?>
<sst xmlns="http://schemas.openxmlformats.org/spreadsheetml/2006/main" count="299" uniqueCount="156">
  <si>
    <t>Wieloletnia Prognoza Finansowa  Gminy Ryglice na lata 2010 – 2024</t>
  </si>
  <si>
    <t>Tabela główna</t>
  </si>
  <si>
    <t>lp.</t>
  </si>
  <si>
    <t>Wyszczególnienie</t>
  </si>
  <si>
    <t>2010*</t>
  </si>
  <si>
    <t>I</t>
  </si>
  <si>
    <t>Dochody</t>
  </si>
  <si>
    <t>a</t>
  </si>
  <si>
    <t>bieżące</t>
  </si>
  <si>
    <t>b</t>
  </si>
  <si>
    <t>majątkowe</t>
  </si>
  <si>
    <t>w tym</t>
  </si>
  <si>
    <t>sprzedaż majątku</t>
  </si>
  <si>
    <t>II</t>
  </si>
  <si>
    <t>Wydatki</t>
  </si>
  <si>
    <t>obsługa długu</t>
  </si>
  <si>
    <t xml:space="preserve">gwarancje i poręczenia </t>
  </si>
  <si>
    <t>wynagrodzenia i składki od nich naliczane</t>
  </si>
  <si>
    <t>wydatki związane z funkcjonowaniem organów j.s.t.</t>
  </si>
  <si>
    <t xml:space="preserve">Przedsięwzięcia </t>
  </si>
  <si>
    <t>x</t>
  </si>
  <si>
    <t>III</t>
  </si>
  <si>
    <t>Przychody</t>
  </si>
  <si>
    <t>zaciągany dług</t>
  </si>
  <si>
    <t>pożyczki</t>
  </si>
  <si>
    <t>kredyty</t>
  </si>
  <si>
    <t>emisja obligacji</t>
  </si>
  <si>
    <t>spłata udzielonych pożyczek</t>
  </si>
  <si>
    <t>c</t>
  </si>
  <si>
    <t>nadwyżka budżetowa z lat poprzednich</t>
  </si>
  <si>
    <t>d</t>
  </si>
  <si>
    <t>wolne środki</t>
  </si>
  <si>
    <t>IV</t>
  </si>
  <si>
    <t>Rozchody</t>
  </si>
  <si>
    <t>spłata długu</t>
  </si>
  <si>
    <t>wykup obligacji</t>
  </si>
  <si>
    <t>pożyczki do udzielenia</t>
  </si>
  <si>
    <t>V</t>
  </si>
  <si>
    <t>Wynik budżetu (+ nadwyżka; - deficyt)</t>
  </si>
  <si>
    <t>Va</t>
  </si>
  <si>
    <t>Finansowanie deficytu</t>
  </si>
  <si>
    <t>Vb</t>
  </si>
  <si>
    <t>Przeznaczenie nadwyżki</t>
  </si>
  <si>
    <t>spłata zaciągniętego długu</t>
  </si>
  <si>
    <t>udzielenie pożyczek</t>
  </si>
  <si>
    <t>VI</t>
  </si>
  <si>
    <t xml:space="preserve">Dług / Prognoza kwoty długu </t>
  </si>
  <si>
    <t>VII</t>
  </si>
  <si>
    <t>Relacja z art. 169 ustawy o finansach publicznych z dnia 30 czerwca 2005r (max 15%)</t>
  </si>
  <si>
    <t>VIII</t>
  </si>
  <si>
    <t>Relacja z art. 170 ustawy o finansach publicznych z dnia 30 czerwca 2005r (max 60%)</t>
  </si>
  <si>
    <t>IX.</t>
  </si>
  <si>
    <t>Obciążenia spłatami wg art. 243 ust 1 ustawy o finansach publicznych - część wzoru w treści:  (R + O)/D</t>
  </si>
  <si>
    <t>X.</t>
  </si>
  <si>
    <t>Limit obciążeń budżetu spłatą długu, kosztami jego obsługi oraz poręczeniami i gwarancjami - zgodnie z art. 243 ust. 1 ustawy o finansach publicznych - średnia z trzech poprzednich lat</t>
  </si>
  <si>
    <t>XI.</t>
  </si>
  <si>
    <t>Relacja o której mowa w art. 243  ustawy z dnia 27 sierpnia 2009r o finansach publicznych  (poz. X minus poz. IX)- nie może być ze znakiem "minus"</t>
  </si>
  <si>
    <t>XII.</t>
  </si>
  <si>
    <t>Sposób sfinansowania długu</t>
  </si>
  <si>
    <t>nadwyżka budżetowa</t>
  </si>
  <si>
    <t>*plan wg sprawozdania za III kw.</t>
  </si>
  <si>
    <t>Wielkości kontrolne i informacyjne</t>
  </si>
  <si>
    <t>A.</t>
  </si>
  <si>
    <t>(Dochody bieżące + sprzedaż majątku - wydatki bieżące) / dochody ogółem: (Db+Sm-Wb)/D - dla danego roku</t>
  </si>
  <si>
    <t>B.</t>
  </si>
  <si>
    <t>Równowaga budżetowa D+ P - W - R = 0</t>
  </si>
  <si>
    <t>C.</t>
  </si>
  <si>
    <t>Różnica dochody bieżące + nadwyżka z lat ubiegłych+ wolne środki - wydatki bieżące (art. 242 ust. 1 ufp) - od roku 2011 nie może być ze znakiem "minus"</t>
  </si>
  <si>
    <t>D.</t>
  </si>
  <si>
    <t>Obsługa długu związana z UE</t>
  </si>
  <si>
    <t>E.</t>
  </si>
  <si>
    <t>Spłata długu związana z UE</t>
  </si>
  <si>
    <t>F.</t>
  </si>
  <si>
    <t>Gwarancje i poręczenia związane z UE -sam. os. prawne</t>
  </si>
  <si>
    <t>G.</t>
  </si>
  <si>
    <t>Dług na koniec roku związany z UE.</t>
  </si>
  <si>
    <t>H.</t>
  </si>
  <si>
    <t>Relacja z art. 169 ustawy o finansach publicznych z dnia 30 czerwca 2005r (max 15%) bez UE</t>
  </si>
  <si>
    <t>I.</t>
  </si>
  <si>
    <t>Relacja z art. 170 ustawy o finansach publicznych z dnia 30 czerwca 2005r (max 60%) bez UE</t>
  </si>
  <si>
    <t>J.</t>
  </si>
  <si>
    <t>(R + O) / D bez UE</t>
  </si>
  <si>
    <t>K.</t>
  </si>
  <si>
    <t>Relacja o której mowa w art. 243  ustawy z dnia 27 sierpnia 2009r o finansach publicznych (Dz. U. Nr 157, poz. 1240) - od roku 2014 nie może być ze znakiem "minus" - bez UE</t>
  </si>
  <si>
    <t>L.</t>
  </si>
  <si>
    <t xml:space="preserve">Przypadające na jednostkę kwoty zobowiązań związków j.s.t. </t>
  </si>
  <si>
    <t>Tabela startowa do WPF</t>
  </si>
  <si>
    <t>Dług na koniec 2009 roku</t>
  </si>
  <si>
    <t>Wielkości początkowe za lata 2008 - 2009 do obliczenia relacji, o której mowa w art. 243 ufp</t>
  </si>
  <si>
    <t>Lp.</t>
  </si>
  <si>
    <t>Dochody bieżące</t>
  </si>
  <si>
    <t>Sprzedaż majątku</t>
  </si>
  <si>
    <t>Wydatki bieżące</t>
  </si>
  <si>
    <t>Dochody ogółem</t>
  </si>
  <si>
    <t>e</t>
  </si>
  <si>
    <t>(Dochody bieżące+ sprzedaż majątku-wydatki bieżące)/ dochody ogółem</t>
  </si>
  <si>
    <t>Dane uzupełniające:</t>
  </si>
  <si>
    <t>Zwiększenie planowanego kredytu na prefinansowanie w 2010 r.</t>
  </si>
  <si>
    <t xml:space="preserve">Zmniejszenie kredytów w 2010 roku </t>
  </si>
  <si>
    <t>Zmniejszenie planowanej pożyczki na prefinansowanie w 2010 r.</t>
  </si>
  <si>
    <t>Zmniejszenie kredytu w 2010 roku z tytułu uzyskanej premii termomodernizacyjnej</t>
  </si>
  <si>
    <t>Część A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</si>
  <si>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</si>
  <si>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</si>
  <si>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</si>
  <si>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</si>
  <si>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poniesione w latach poprzednich</t>
  </si>
  <si>
    <t>Limity wydatków</t>
  </si>
  <si>
    <t>Limit zobowiązań</t>
  </si>
  <si>
    <t>Umowy, o których mowa w art. 226, ust. 4 pkt 2 ufp (zapewnienie ciągłości działania jednostki)</t>
  </si>
  <si>
    <t>Urząd Miejski w Ryglicach oraz wszystkie podległe jednostki</t>
  </si>
  <si>
    <t>Jak w części B załącznika</t>
  </si>
  <si>
    <t>X</t>
  </si>
  <si>
    <t>Przedsięwzięcia, o których mowa w art. 226, ust. 4 pkt 1 ufp (wydatki bieżące)</t>
  </si>
  <si>
    <t>Projekt pn:” Dobry początek – lepsza przyszłość dzieci z Lubczy” finansowany z Programu Operacyjnego Kapitał Ludzki . Celem projektu jest wyrównanie szans edukacyjnych dzieci  poprzez zapewnienie profesjonalnej edukacji przedszkolnej w Lubczy</t>
  </si>
  <si>
    <t>Zespół Szkół w Lubczy</t>
  </si>
  <si>
    <t>2009 – 2011</t>
  </si>
  <si>
    <t>Projekt pn:” Aktywizacja zawodowa szansą na zatrudnienie dla osób zagrożonych wykluczeniem społeczny ” finansowany z Programu Operacyjnego Kapitał Ludzki.                                      Celem projektu jest kompleksowy system wsparcia dla osób i rodzin które umożliwi im samodzielną egzystencję zapewni skuteczną realizację ról społecznych oraz stworzy możliwość rozwoju, skuteczna pomoc oznaczać będzie pozbawienie uprawnień do pomocy społecznej poprzez usunięcie bądź ograniczenie różnych dysfunkcji i wyprowadzenie z grupy ryzyka</t>
  </si>
  <si>
    <t>Gminy Ośrodek Pomocy Społecznej w Ryglicach</t>
  </si>
  <si>
    <t>2008 – 2014</t>
  </si>
  <si>
    <t>* Program Operacyjny Kapitał Ludzki – projekt „Otwarci na przyszłość” - zajęcia dodatkowe dla uczniów gimnazjum na terenie gminy Ryglice.                                Celem projektu jest podniesienie wyników w nauce i wyrównywanie dysproporcji w wynikach kształcenia, podniesienie motywacji uczniów do nauki,kształtowanie prawidłowych postaw emocjonalno -społecznych</t>
  </si>
  <si>
    <t xml:space="preserve">Urząd Miejski w Ryglicach  </t>
  </si>
  <si>
    <t>2011-2012</t>
  </si>
  <si>
    <t>* Program Operacyjny Kapitał Ludzki – projekt „Moja szkoła – moja szansą” - zajęcia dodatkowe dla uczniów szkół podstawowych na terenie gminy Ryglice.                                                        Celem projektu jest wyrównywanie poziomu wiedzy i umiejętności uczniów mających  trudności w nauce, zminimalizowanie wad wymowy, zminimalizowanie trudności w nauce pisania, czytania oraz koncentracji kształtowanie prawidłowych postaw emocjonalno -społecznych</t>
  </si>
  <si>
    <t>Konserwacja oświetlenia dróg gminnych</t>
  </si>
  <si>
    <t>2011 – 2024</t>
  </si>
  <si>
    <t>Oświetlenie ulic, placów i dróg gminnych i powiatowych</t>
  </si>
  <si>
    <t>2010 – 2012</t>
  </si>
  <si>
    <t>Dotacja dla Powiatu Tarnowskiego na współfinansowanie działalności Samorządowego Centrum Edukacji w Tarnowie</t>
  </si>
  <si>
    <t>2011-2024</t>
  </si>
  <si>
    <t>Suma – limit wydatków</t>
  </si>
  <si>
    <t>Suma – limit zobowiązań</t>
  </si>
  <si>
    <t>Przedsięwzięcia, o których mowa w art. 226, ust. 4 pkt 1 ufp (wydatki majątkowe)</t>
  </si>
  <si>
    <t>Objęcie udziałów w Spółce Komunalnej „Dorzecze Białej” Sp. Z o.o. z siedzibą w Tuchowie na realizacja 2010 – 2014 zadania pn. Uporządkowanie gospodarki wodno – ściekowej zlewni rzeki Biała w ramach programu „Czysty Dunajec”, w celu poszerzenia dostępności mieszkańców gminy do infrastruktury kanalizacyjnej i wodociągowej</t>
  </si>
  <si>
    <t>2010 – 2024</t>
  </si>
  <si>
    <t>Dotacja dla Gminy Miasta Tarnowa na wspólfinansowanie modernizacji I rozbudowy wysypiska śmieci</t>
  </si>
  <si>
    <t xml:space="preserve">Wieloletnie poręczenia i gwarancje, o których mowa w art. 226, ust. 4 pkt 3 ufp </t>
  </si>
  <si>
    <t>Poręczenie dla Spółki Komunalnej „Dorzecze Białej” Sp. z o.o. W Tuchowie</t>
  </si>
  <si>
    <t>2010 – 2018</t>
  </si>
  <si>
    <t>Suma</t>
  </si>
  <si>
    <t>Łącznie  - limit wydatków ( I + II + III+IV)</t>
  </si>
  <si>
    <t>Łącznie  - limit zobowiązań ( I + II + III+IV)</t>
  </si>
  <si>
    <t>* II.3</t>
  </si>
  <si>
    <t>Umowy zawarte w 2010 roku</t>
  </si>
  <si>
    <t>Część B</t>
  </si>
  <si>
    <t>Limity wydatków / Limit zobowiązań</t>
  </si>
  <si>
    <t>Energia elektryczna, gaz</t>
  </si>
  <si>
    <t>Usługi telekomunikacyjne, internet</t>
  </si>
  <si>
    <t>Obsługa bankowa</t>
  </si>
  <si>
    <t>Urząd Miejski w Ryglicach</t>
  </si>
  <si>
    <t>2007-2012</t>
  </si>
  <si>
    <t>Odprowadzanie ścieków</t>
  </si>
  <si>
    <t xml:space="preserve">Pozostałe umowy </t>
  </si>
  <si>
    <t>2011-2014</t>
  </si>
  <si>
    <t xml:space="preserve">Załącznik nr 1 do Uchwały Nr IV/10/10 Rady Miejskiej w Ryglicach z dnia 31 grudnia 2010 r. </t>
  </si>
  <si>
    <t>Załącznik nr 2 do Uchwały Nr IV/10/10 Rady Miejskiej w Ryglicach z dnia 31 grudnia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</si>
</sst>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 vertical="center"/>
      <protection/>
    </xf>
    <xf numFmtId="4" fontId="22" fillId="0" borderId="10" xfId="0" applyNumberFormat="1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 applyProtection="1">
      <alignment horizontal="right" vertical="center"/>
      <protection/>
    </xf>
    <xf numFmtId="4" fontId="21" fillId="0" borderId="10" xfId="0" applyNumberFormat="1" applyFont="1" applyFill="1" applyBorder="1" applyAlignment="1" applyProtection="1">
      <alignment horizontal="center" vertical="center"/>
      <protection/>
    </xf>
    <xf numFmtId="4" fontId="21" fillId="0" borderId="10" xfId="0" applyNumberFormat="1" applyFont="1" applyFill="1" applyBorder="1" applyAlignment="1" applyProtection="1">
      <alignment vertical="center"/>
      <protection/>
    </xf>
    <xf numFmtId="4" fontId="21" fillId="0" borderId="10" xfId="0" applyNumberFormat="1" applyFont="1" applyFill="1" applyBorder="1" applyAlignment="1" applyProtection="1">
      <alignment horizontal="left" vertical="center" wrapText="1"/>
      <protection/>
    </xf>
    <xf numFmtId="3" fontId="23" fillId="0" borderId="10" xfId="0" applyNumberFormat="1" applyFont="1" applyFill="1" applyBorder="1" applyAlignment="1" applyProtection="1">
      <alignment horizontal="right" vertical="center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4" fontId="22" fillId="0" borderId="10" xfId="0" applyNumberFormat="1" applyFont="1" applyFill="1" applyBorder="1" applyAlignment="1" applyProtection="1">
      <alignment horizontal="left" vertical="center" wrapText="1"/>
      <protection/>
    </xf>
    <xf numFmtId="4" fontId="22" fillId="0" borderId="10" xfId="0" applyNumberFormat="1" applyFont="1" applyFill="1" applyBorder="1" applyAlignment="1" applyProtection="1">
      <alignment horizontal="center" vertical="center" textRotation="90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 locked="0"/>
    </xf>
    <xf numFmtId="3" fontId="23" fillId="0" borderId="10" xfId="0" applyNumberFormat="1" applyFont="1" applyFill="1" applyBorder="1" applyAlignment="1" applyProtection="1">
      <alignment horizontal="right" vertical="center"/>
      <protection/>
    </xf>
    <xf numFmtId="4" fontId="22" fillId="0" borderId="10" xfId="0" applyNumberFormat="1" applyFont="1" applyFill="1" applyBorder="1" applyAlignment="1" applyProtection="1">
      <alignment vertical="center"/>
      <protection/>
    </xf>
    <xf numFmtId="4" fontId="19" fillId="24" borderId="10" xfId="0" applyNumberFormat="1" applyFont="1" applyFill="1" applyBorder="1" applyAlignment="1" applyProtection="1">
      <alignment horizontal="right" vertical="center"/>
      <protection/>
    </xf>
    <xf numFmtId="10" fontId="22" fillId="0" borderId="10" xfId="0" applyNumberFormat="1" applyFont="1" applyFill="1" applyBorder="1" applyAlignment="1" applyProtection="1">
      <alignment horizontal="center" vertical="center"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4" fontId="23" fillId="0" borderId="0" xfId="0" applyNumberFormat="1" applyFont="1" applyFill="1" applyBorder="1" applyAlignment="1" applyProtection="1">
      <alignment horizontal="left" vertical="center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/>
      <protection locked="0"/>
    </xf>
    <xf numFmtId="10" fontId="19" fillId="0" borderId="10" xfId="0" applyNumberFormat="1" applyFont="1" applyBorder="1" applyAlignment="1" applyProtection="1">
      <alignment horizontal="center" vertical="center"/>
      <protection locked="0"/>
    </xf>
    <xf numFmtId="3" fontId="24" fillId="0" borderId="10" xfId="0" applyNumberFormat="1" applyFont="1" applyBorder="1" applyAlignment="1" applyProtection="1">
      <alignment vertical="center"/>
      <protection locked="0"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23" fillId="24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 applyAlignment="1">
      <alignment/>
    </xf>
    <xf numFmtId="3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4" fontId="22" fillId="0" borderId="10" xfId="0" applyNumberFormat="1" applyFont="1" applyFill="1" applyBorder="1" applyAlignment="1" applyProtection="1">
      <alignment horizontal="center" vertical="center"/>
      <protection/>
    </xf>
    <xf numFmtId="4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21" fillId="0" borderId="10" xfId="0" applyNumberFormat="1" applyFont="1" applyFill="1" applyBorder="1" applyAlignment="1" applyProtection="1">
      <alignment horizontal="center" vertical="center"/>
      <protection/>
    </xf>
    <xf numFmtId="4" fontId="22" fillId="0" borderId="10" xfId="0" applyNumberFormat="1" applyFont="1" applyFill="1" applyBorder="1" applyAlignment="1" applyProtection="1">
      <alignment horizontal="center" vertical="center" wrapText="1"/>
      <protection/>
    </xf>
    <xf numFmtId="4" fontId="22" fillId="0" borderId="10" xfId="0" applyNumberFormat="1" applyFont="1" applyFill="1" applyBorder="1" applyAlignment="1" applyProtection="1">
      <alignment horizontal="center" vertical="center" textRotation="90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left" wrapText="1"/>
    </xf>
    <xf numFmtId="49" fontId="22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view="pageBreakPreview" zoomScale="110" zoomScaleSheetLayoutView="110" zoomScalePageLayoutView="0" workbookViewId="0" topLeftCell="L1">
      <pane ySplit="5" topLeftCell="A6" activePane="bottomLeft" state="frozen"/>
      <selection pane="topLeft" activeCell="L1" sqref="L1"/>
      <selection pane="bottomLeft" activeCell="P4" sqref="P4"/>
    </sheetView>
  </sheetViews>
  <sheetFormatPr defaultColWidth="9.00390625" defaultRowHeight="12.75"/>
  <cols>
    <col min="1" max="1" width="6.625" style="1" customWidth="1"/>
    <col min="2" max="2" width="7.25390625" style="1" customWidth="1"/>
    <col min="3" max="3" width="28.75390625" style="2" customWidth="1"/>
    <col min="4" max="18" width="11.00390625" style="1" customWidth="1"/>
    <col min="19" max="16384" width="9.00390625" style="1" customWidth="1"/>
  </cols>
  <sheetData>
    <row r="1" spans="1:22" ht="12.75">
      <c r="A1" s="3"/>
      <c r="B1" s="4"/>
      <c r="C1" s="5"/>
      <c r="D1" s="4"/>
      <c r="E1" s="4"/>
      <c r="F1" s="4"/>
      <c r="G1" s="4"/>
      <c r="H1" s="4"/>
      <c r="I1" s="4"/>
      <c r="J1" s="4"/>
      <c r="K1" s="4"/>
      <c r="L1" s="7" t="s">
        <v>154</v>
      </c>
      <c r="M1" s="7"/>
      <c r="N1" s="7"/>
      <c r="O1" s="7"/>
      <c r="P1" s="7"/>
      <c r="S1" s="8"/>
      <c r="T1" s="8"/>
      <c r="U1" s="8"/>
      <c r="V1" s="8"/>
    </row>
    <row r="2" spans="1:22" ht="12.75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6"/>
      <c r="N2" s="9"/>
      <c r="O2" s="9"/>
      <c r="P2" s="9"/>
      <c r="Q2" s="9"/>
      <c r="R2" s="9"/>
      <c r="S2" s="8"/>
      <c r="T2" s="8"/>
      <c r="U2" s="8"/>
      <c r="V2" s="8"/>
    </row>
    <row r="3" spans="1:22" ht="15.7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"/>
      <c r="T3" s="8"/>
      <c r="U3" s="8"/>
      <c r="V3" s="8"/>
    </row>
    <row r="4" spans="1:22" ht="13.5">
      <c r="A4" s="87" t="s">
        <v>1</v>
      </c>
      <c r="B4" s="87"/>
      <c r="C4" s="5"/>
      <c r="D4" s="4"/>
      <c r="E4" s="4"/>
      <c r="F4" s="4"/>
      <c r="G4" s="4"/>
      <c r="H4" s="4"/>
      <c r="I4" s="4"/>
      <c r="J4" s="4"/>
      <c r="K4" s="4"/>
      <c r="L4" s="4"/>
      <c r="M4" s="6"/>
      <c r="N4" s="9"/>
      <c r="O4" s="9"/>
      <c r="P4" s="9"/>
      <c r="Q4" s="9"/>
      <c r="R4" s="9"/>
      <c r="S4" s="8"/>
      <c r="T4" s="8"/>
      <c r="U4" s="8"/>
      <c r="V4" s="8"/>
    </row>
    <row r="5" spans="1:22" ht="12.75">
      <c r="A5" s="3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6"/>
      <c r="N5" s="9"/>
      <c r="O5" s="9"/>
      <c r="P5" s="9"/>
      <c r="Q5" s="9"/>
      <c r="R5" s="9"/>
      <c r="S5" s="8"/>
      <c r="T5" s="8"/>
      <c r="U5" s="8"/>
      <c r="V5" s="8"/>
    </row>
    <row r="6" spans="1:22" ht="24.75" customHeight="1">
      <c r="A6" s="10" t="s">
        <v>2</v>
      </c>
      <c r="B6" s="88" t="s">
        <v>3</v>
      </c>
      <c r="C6" s="88"/>
      <c r="D6" s="10" t="s">
        <v>4</v>
      </c>
      <c r="E6" s="10">
        <v>2011</v>
      </c>
      <c r="F6" s="10">
        <v>2012</v>
      </c>
      <c r="G6" s="10">
        <v>2013</v>
      </c>
      <c r="H6" s="10">
        <v>2014</v>
      </c>
      <c r="I6" s="10">
        <v>2015</v>
      </c>
      <c r="J6" s="10">
        <v>2016</v>
      </c>
      <c r="K6" s="10">
        <v>2017</v>
      </c>
      <c r="L6" s="10">
        <v>2018</v>
      </c>
      <c r="M6" s="10">
        <v>2019</v>
      </c>
      <c r="N6" s="10">
        <v>2020</v>
      </c>
      <c r="O6" s="10">
        <v>2021</v>
      </c>
      <c r="P6" s="10">
        <v>2022</v>
      </c>
      <c r="Q6" s="10">
        <v>2023</v>
      </c>
      <c r="R6" s="10">
        <v>2024</v>
      </c>
      <c r="S6" s="8"/>
      <c r="T6" s="8"/>
      <c r="U6" s="8"/>
      <c r="V6" s="8"/>
    </row>
    <row r="7" spans="1:22" ht="12.75">
      <c r="A7" s="11" t="s">
        <v>5</v>
      </c>
      <c r="B7" s="79" t="s">
        <v>6</v>
      </c>
      <c r="C7" s="79"/>
      <c r="D7" s="12">
        <f aca="true" t="shared" si="0" ref="D7:R7">D8+D9</f>
        <v>35846117</v>
      </c>
      <c r="E7" s="12">
        <f t="shared" si="0"/>
        <v>31038877</v>
      </c>
      <c r="F7" s="12">
        <f t="shared" si="0"/>
        <v>29956303</v>
      </c>
      <c r="G7" s="12">
        <f t="shared" si="0"/>
        <v>30275303</v>
      </c>
      <c r="H7" s="12">
        <f t="shared" si="0"/>
        <v>31067873</v>
      </c>
      <c r="I7" s="12">
        <f t="shared" si="0"/>
        <v>31989480</v>
      </c>
      <c r="J7" s="12">
        <f t="shared" si="0"/>
        <v>31998764</v>
      </c>
      <c r="K7" s="12">
        <f t="shared" si="0"/>
        <v>32478627</v>
      </c>
      <c r="L7" s="12">
        <f t="shared" si="0"/>
        <v>32965638</v>
      </c>
      <c r="M7" s="12">
        <f t="shared" si="0"/>
        <v>33295182</v>
      </c>
      <c r="N7" s="12">
        <f t="shared" si="0"/>
        <v>33628021</v>
      </c>
      <c r="O7" s="12">
        <f t="shared" si="0"/>
        <v>33964189</v>
      </c>
      <c r="P7" s="12">
        <f t="shared" si="0"/>
        <v>34303718</v>
      </c>
      <c r="Q7" s="12">
        <f t="shared" si="0"/>
        <v>34646643</v>
      </c>
      <c r="R7" s="12">
        <f t="shared" si="0"/>
        <v>34992997</v>
      </c>
      <c r="S7" s="8"/>
      <c r="T7" s="8"/>
      <c r="U7" s="8"/>
      <c r="V7" s="8"/>
    </row>
    <row r="8" spans="1:22" ht="12.75" customHeight="1">
      <c r="A8" s="13" t="s">
        <v>7</v>
      </c>
      <c r="B8" s="14"/>
      <c r="C8" s="15" t="s">
        <v>8</v>
      </c>
      <c r="D8" s="16">
        <v>30078558</v>
      </c>
      <c r="E8" s="16">
        <v>29258297</v>
      </c>
      <c r="F8" s="16">
        <v>29946253</v>
      </c>
      <c r="G8" s="16">
        <v>30265253</v>
      </c>
      <c r="H8" s="16">
        <v>31056873</v>
      </c>
      <c r="I8" s="16">
        <v>31978280</v>
      </c>
      <c r="J8" s="16">
        <v>31987564</v>
      </c>
      <c r="K8" s="16">
        <v>32467377</v>
      </c>
      <c r="L8" s="16">
        <v>32954388</v>
      </c>
      <c r="M8" s="16">
        <v>33283932</v>
      </c>
      <c r="N8" s="16">
        <v>33616771</v>
      </c>
      <c r="O8" s="16">
        <v>33952939</v>
      </c>
      <c r="P8" s="16">
        <v>34292468</v>
      </c>
      <c r="Q8" s="16">
        <v>34635393</v>
      </c>
      <c r="R8" s="16">
        <v>34981747</v>
      </c>
      <c r="S8" s="8"/>
      <c r="T8" s="8"/>
      <c r="U8" s="8"/>
      <c r="V8" s="8"/>
    </row>
    <row r="9" spans="1:22" ht="13.5">
      <c r="A9" s="13" t="s">
        <v>9</v>
      </c>
      <c r="B9" s="14"/>
      <c r="C9" s="15" t="s">
        <v>10</v>
      </c>
      <c r="D9" s="16">
        <v>5767559</v>
      </c>
      <c r="E9" s="16">
        <v>1780580</v>
      </c>
      <c r="F9" s="17">
        <v>10050</v>
      </c>
      <c r="G9" s="17">
        <v>10050</v>
      </c>
      <c r="H9" s="17">
        <v>11000</v>
      </c>
      <c r="I9" s="17">
        <v>11200</v>
      </c>
      <c r="J9" s="17">
        <v>11200</v>
      </c>
      <c r="K9" s="17">
        <v>11250</v>
      </c>
      <c r="L9" s="17">
        <v>11250</v>
      </c>
      <c r="M9" s="17">
        <v>11250</v>
      </c>
      <c r="N9" s="17">
        <v>11250</v>
      </c>
      <c r="O9" s="17">
        <v>11250</v>
      </c>
      <c r="P9" s="17">
        <v>11250</v>
      </c>
      <c r="Q9" s="17">
        <v>11250</v>
      </c>
      <c r="R9" s="17">
        <v>11250</v>
      </c>
      <c r="S9" s="8"/>
      <c r="T9" s="8"/>
      <c r="U9" s="8"/>
      <c r="V9" s="8"/>
    </row>
    <row r="10" spans="1:22" ht="12.75">
      <c r="A10" s="11"/>
      <c r="B10" s="11" t="s">
        <v>11</v>
      </c>
      <c r="C10" s="18" t="s">
        <v>12</v>
      </c>
      <c r="D10" s="17">
        <v>19425</v>
      </c>
      <c r="E10" s="17">
        <v>10000</v>
      </c>
      <c r="F10" s="17">
        <v>10000</v>
      </c>
      <c r="G10" s="17">
        <v>10000</v>
      </c>
      <c r="H10" s="17">
        <v>10900</v>
      </c>
      <c r="I10" s="17">
        <v>11100</v>
      </c>
      <c r="J10" s="17">
        <v>11100</v>
      </c>
      <c r="K10" s="17">
        <v>11150</v>
      </c>
      <c r="L10" s="17">
        <v>11150</v>
      </c>
      <c r="M10" s="17">
        <v>11150</v>
      </c>
      <c r="N10" s="17">
        <v>11150</v>
      </c>
      <c r="O10" s="17">
        <v>11150</v>
      </c>
      <c r="P10" s="17">
        <v>11150</v>
      </c>
      <c r="Q10" s="17">
        <v>11150</v>
      </c>
      <c r="R10" s="17">
        <v>11150</v>
      </c>
      <c r="S10" s="8"/>
      <c r="T10" s="8"/>
      <c r="U10" s="8"/>
      <c r="V10" s="8"/>
    </row>
    <row r="11" spans="1:22" ht="12.75" customHeight="1">
      <c r="A11" s="11" t="s">
        <v>13</v>
      </c>
      <c r="B11" s="82" t="s">
        <v>14</v>
      </c>
      <c r="C11" s="82"/>
      <c r="D11" s="12">
        <f aca="true" t="shared" si="1" ref="D11:R11">D12+D20</f>
        <v>42513406</v>
      </c>
      <c r="E11" s="12">
        <f t="shared" si="1"/>
        <v>31495323</v>
      </c>
      <c r="F11" s="12">
        <f t="shared" si="1"/>
        <v>29012000</v>
      </c>
      <c r="G11" s="12">
        <f t="shared" si="1"/>
        <v>28447631</v>
      </c>
      <c r="H11" s="12">
        <f t="shared" si="1"/>
        <v>29752143</v>
      </c>
      <c r="I11" s="12">
        <f t="shared" si="1"/>
        <v>30626801</v>
      </c>
      <c r="J11" s="12">
        <f t="shared" si="1"/>
        <v>30998764</v>
      </c>
      <c r="K11" s="12">
        <f t="shared" si="1"/>
        <v>31028627</v>
      </c>
      <c r="L11" s="12">
        <f t="shared" si="1"/>
        <v>31465638</v>
      </c>
      <c r="M11" s="12">
        <f t="shared" si="1"/>
        <v>31804460</v>
      </c>
      <c r="N11" s="12">
        <f t="shared" si="1"/>
        <v>32394562</v>
      </c>
      <c r="O11" s="12">
        <f t="shared" si="1"/>
        <v>33501913</v>
      </c>
      <c r="P11" s="12">
        <f t="shared" si="1"/>
        <v>34068471</v>
      </c>
      <c r="Q11" s="12">
        <f t="shared" si="1"/>
        <v>34646643</v>
      </c>
      <c r="R11" s="12">
        <f t="shared" si="1"/>
        <v>34992997</v>
      </c>
      <c r="S11" s="8"/>
      <c r="T11" s="8"/>
      <c r="U11" s="8"/>
      <c r="V11" s="8"/>
    </row>
    <row r="12" spans="1:22" ht="13.5">
      <c r="A12" s="13" t="s">
        <v>7</v>
      </c>
      <c r="B12" s="14"/>
      <c r="C12" s="15" t="s">
        <v>8</v>
      </c>
      <c r="D12" s="16">
        <v>28868061</v>
      </c>
      <c r="E12" s="16">
        <v>27967052</v>
      </c>
      <c r="F12" s="16">
        <v>27302000</v>
      </c>
      <c r="G12" s="16">
        <v>27148000</v>
      </c>
      <c r="H12" s="16">
        <v>27715096</v>
      </c>
      <c r="I12" s="16">
        <v>27992247</v>
      </c>
      <c r="J12" s="16">
        <v>28412131</v>
      </c>
      <c r="K12" s="16">
        <v>28838313</v>
      </c>
      <c r="L12" s="16">
        <v>29270888</v>
      </c>
      <c r="M12" s="16">
        <v>29709951</v>
      </c>
      <c r="N12" s="16">
        <v>30601249</v>
      </c>
      <c r="O12" s="16">
        <v>31060267</v>
      </c>
      <c r="P12" s="16">
        <v>31526171</v>
      </c>
      <c r="Q12" s="16">
        <v>31999064</v>
      </c>
      <c r="R12" s="16">
        <v>32479050</v>
      </c>
      <c r="S12" s="8"/>
      <c r="T12" s="8"/>
      <c r="U12" s="8"/>
      <c r="V12" s="8"/>
    </row>
    <row r="13" spans="1:22" ht="12.75">
      <c r="A13" s="11"/>
      <c r="B13" s="83" t="s">
        <v>11</v>
      </c>
      <c r="C13" s="18" t="s">
        <v>15</v>
      </c>
      <c r="D13" s="17">
        <v>627000</v>
      </c>
      <c r="E13" s="17">
        <v>700000</v>
      </c>
      <c r="F13" s="17">
        <v>650000</v>
      </c>
      <c r="G13" s="17">
        <v>600000</v>
      </c>
      <c r="H13" s="17">
        <v>500000</v>
      </c>
      <c r="I13" s="17">
        <v>400000</v>
      </c>
      <c r="J13" s="17">
        <v>350000</v>
      </c>
      <c r="K13" s="17">
        <v>300000</v>
      </c>
      <c r="L13" s="17">
        <v>250000</v>
      </c>
      <c r="M13" s="17">
        <v>150000</v>
      </c>
      <c r="N13" s="17">
        <v>90000</v>
      </c>
      <c r="O13" s="17">
        <v>50000</v>
      </c>
      <c r="P13" s="17"/>
      <c r="Q13" s="17"/>
      <c r="R13" s="17"/>
      <c r="S13" s="8"/>
      <c r="T13" s="8"/>
      <c r="U13" s="8"/>
      <c r="V13" s="8"/>
    </row>
    <row r="14" spans="1:22" ht="12.75">
      <c r="A14" s="11"/>
      <c r="B14" s="83"/>
      <c r="C14" s="18" t="s">
        <v>16</v>
      </c>
      <c r="D14" s="17">
        <v>23300</v>
      </c>
      <c r="E14" s="17">
        <v>149486</v>
      </c>
      <c r="F14" s="17">
        <v>134258</v>
      </c>
      <c r="G14" s="17">
        <v>129623</v>
      </c>
      <c r="H14" s="17">
        <v>90318</v>
      </c>
      <c r="I14" s="17">
        <v>53108</v>
      </c>
      <c r="J14" s="17">
        <v>51261</v>
      </c>
      <c r="K14" s="17">
        <v>49413</v>
      </c>
      <c r="L14" s="17">
        <v>47566</v>
      </c>
      <c r="M14" s="17"/>
      <c r="N14" s="17"/>
      <c r="O14" s="17"/>
      <c r="P14" s="17"/>
      <c r="Q14" s="17"/>
      <c r="R14" s="17"/>
      <c r="S14" s="8"/>
      <c r="T14" s="8"/>
      <c r="U14" s="8"/>
      <c r="V14" s="8"/>
    </row>
    <row r="15" spans="1:22" ht="25.5" customHeight="1">
      <c r="A15" s="11"/>
      <c r="B15" s="83"/>
      <c r="C15" s="18" t="s">
        <v>17</v>
      </c>
      <c r="D15" s="17">
        <v>13072044.46</v>
      </c>
      <c r="E15" s="17">
        <v>13566736</v>
      </c>
      <c r="F15" s="17">
        <v>13634569.68</v>
      </c>
      <c r="G15" s="20">
        <v>13702743</v>
      </c>
      <c r="H15" s="20">
        <v>13771257</v>
      </c>
      <c r="I15" s="20">
        <v>13840113</v>
      </c>
      <c r="J15" s="20">
        <v>13978514</v>
      </c>
      <c r="K15" s="20">
        <v>14118299</v>
      </c>
      <c r="L15" s="20">
        <v>14400665</v>
      </c>
      <c r="M15" s="20">
        <v>14688678</v>
      </c>
      <c r="N15" s="20">
        <v>14982452</v>
      </c>
      <c r="O15" s="20">
        <v>15282101</v>
      </c>
      <c r="P15" s="20">
        <v>15587743</v>
      </c>
      <c r="Q15" s="20">
        <v>15899498</v>
      </c>
      <c r="R15" s="20">
        <v>16217488</v>
      </c>
      <c r="S15" s="8"/>
      <c r="T15" s="8"/>
      <c r="U15" s="8"/>
      <c r="V15" s="8"/>
    </row>
    <row r="16" spans="1:22" ht="25.5" customHeight="1">
      <c r="A16" s="11"/>
      <c r="B16" s="83"/>
      <c r="C16" s="18" t="s">
        <v>18</v>
      </c>
      <c r="D16" s="17">
        <v>313562</v>
      </c>
      <c r="E16" s="17">
        <v>368859</v>
      </c>
      <c r="F16" s="17">
        <v>372547</v>
      </c>
      <c r="G16" s="17">
        <v>376273</v>
      </c>
      <c r="H16" s="17">
        <v>380035</v>
      </c>
      <c r="I16" s="17">
        <v>383836</v>
      </c>
      <c r="J16" s="17">
        <v>387674</v>
      </c>
      <c r="K16" s="17">
        <v>391551</v>
      </c>
      <c r="L16" s="17">
        <v>395466</v>
      </c>
      <c r="M16" s="17">
        <v>399421</v>
      </c>
      <c r="N16" s="17">
        <v>403415</v>
      </c>
      <c r="O16" s="17">
        <v>407449</v>
      </c>
      <c r="P16" s="17">
        <v>411524</v>
      </c>
      <c r="Q16" s="17">
        <v>415640</v>
      </c>
      <c r="R16" s="17">
        <v>419795</v>
      </c>
      <c r="S16" s="9"/>
      <c r="T16" s="8"/>
      <c r="U16" s="8"/>
      <c r="V16" s="8"/>
    </row>
    <row r="17" spans="1:22" ht="12.75" customHeight="1">
      <c r="A17" s="11"/>
      <c r="B17" s="83"/>
      <c r="C17" s="77" t="s">
        <v>19</v>
      </c>
      <c r="D17" s="85" t="s">
        <v>20</v>
      </c>
      <c r="E17" s="84">
        <f>Przedsięwzięcia!G7+Przedsięwzięcia!G24+Przedsięwzięcia!G36</f>
        <v>3168389.77</v>
      </c>
      <c r="F17" s="84">
        <f>Przedsięwzięcia!H7+Przedsięwzięcia!H24+Przedsięwzięcia!H36</f>
        <v>2529057.37</v>
      </c>
      <c r="G17" s="84">
        <f>Przedsięwzięcia!I7+Przedsięwzięcia!I24+Przedsięwzięcia!I36</f>
        <v>1940528</v>
      </c>
      <c r="H17" s="84">
        <f>Przedsięwzięcia!J7+Przedsięwzięcia!J24+Przedsięwzięcia!J36</f>
        <v>1941857</v>
      </c>
      <c r="I17" s="84">
        <f>Przedsięwzięcia!K7+Przedsięwzięcia!K24+Przedsięwzięcia!K36</f>
        <v>1450985</v>
      </c>
      <c r="J17" s="84">
        <f>Przedsięwzięcia!L7+Przedsięwzięcia!L24+Przedsięwzięcia!L36</f>
        <v>1481576</v>
      </c>
      <c r="K17" s="84">
        <f>Przedsięwzięcia!M7+Przedsięwzięcia!M24+Przedsięwzięcia!M36</f>
        <v>1512526</v>
      </c>
      <c r="L17" s="84">
        <f>Przedsięwzięcia!N7+Przedsięwzięcia!N24+Przedsięwzięcia!N36</f>
        <v>1544339</v>
      </c>
      <c r="M17" s="84">
        <f>Przedsięwzięcia!O7+Przedsięwzięcia!O24+Przedsięwzięcia!O36</f>
        <v>1531166</v>
      </c>
      <c r="N17" s="84">
        <f>Przedsięwzięcia!P7+Przedsięwzięcia!P24+Przedsięwzięcia!P36</f>
        <v>1566292</v>
      </c>
      <c r="O17" s="84">
        <f>Przedsięwzięcia!Q7+Przedsięwzięcia!Q24+Przedsięwzięcia!Q36</f>
        <v>1602224</v>
      </c>
      <c r="P17" s="84">
        <f>Przedsięwzięcia!R7+Przedsięwzięcia!R24+Przedsięwzięcia!R36</f>
        <v>1638985</v>
      </c>
      <c r="Q17" s="84">
        <f>Przedsięwzięcia!S7+Przedsięwzięcia!S24+Przedsięwzięcia!S36</f>
        <v>1676590</v>
      </c>
      <c r="R17" s="84">
        <f>Przedsięwzięcia!T7+Przedsięwzięcia!T24+Przedsięwzięcia!T36</f>
        <v>1715061</v>
      </c>
      <c r="S17" s="8"/>
      <c r="T17" s="8"/>
      <c r="U17" s="8"/>
      <c r="V17" s="8"/>
    </row>
    <row r="18" spans="1:22" ht="12.75" customHeight="1">
      <c r="A18" s="11"/>
      <c r="B18" s="83"/>
      <c r="C18" s="77"/>
      <c r="D18" s="85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"/>
      <c r="T18" s="8"/>
      <c r="U18" s="8"/>
      <c r="V18" s="8"/>
    </row>
    <row r="19" spans="1:22" ht="12.75" customHeight="1">
      <c r="A19" s="11"/>
      <c r="B19" s="83"/>
      <c r="C19" s="77"/>
      <c r="D19" s="85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"/>
      <c r="T19" s="8"/>
      <c r="U19" s="8"/>
      <c r="V19" s="8"/>
    </row>
    <row r="20" spans="1:22" ht="13.5">
      <c r="A20" s="13" t="s">
        <v>9</v>
      </c>
      <c r="B20" s="14"/>
      <c r="C20" s="15" t="s">
        <v>10</v>
      </c>
      <c r="D20" s="16">
        <v>13645345</v>
      </c>
      <c r="E20" s="16">
        <v>3528271</v>
      </c>
      <c r="F20" s="16">
        <v>1710000</v>
      </c>
      <c r="G20" s="16">
        <v>1299631</v>
      </c>
      <c r="H20" s="16">
        <v>2037047</v>
      </c>
      <c r="I20" s="16">
        <v>2634554</v>
      </c>
      <c r="J20" s="16">
        <v>2586633</v>
      </c>
      <c r="K20" s="16">
        <v>2190314</v>
      </c>
      <c r="L20" s="16">
        <v>2194750</v>
      </c>
      <c r="M20" s="16">
        <v>2094509</v>
      </c>
      <c r="N20" s="16">
        <v>1793313</v>
      </c>
      <c r="O20" s="16">
        <v>2441646</v>
      </c>
      <c r="P20" s="16">
        <v>2542300</v>
      </c>
      <c r="Q20" s="16">
        <v>2647579</v>
      </c>
      <c r="R20" s="16">
        <v>2513947</v>
      </c>
      <c r="S20" s="8"/>
      <c r="T20" s="8"/>
      <c r="U20" s="8"/>
      <c r="V20" s="8"/>
    </row>
    <row r="21" spans="1:22" ht="37.5" customHeight="1">
      <c r="A21" s="11"/>
      <c r="B21" s="19" t="s">
        <v>11</v>
      </c>
      <c r="C21" s="18" t="s">
        <v>19</v>
      </c>
      <c r="D21" s="21" t="s">
        <v>20</v>
      </c>
      <c r="E21" s="20">
        <f>Przedsięwzięcia!G31</f>
        <v>998000</v>
      </c>
      <c r="F21" s="20">
        <f>Przedsięwzięcia!H31</f>
        <v>719000</v>
      </c>
      <c r="G21" s="20">
        <f>Przedsięwzięcia!I31</f>
        <v>260000</v>
      </c>
      <c r="H21" s="20">
        <f>Przedsięwzięcia!J31</f>
        <v>381000</v>
      </c>
      <c r="I21" s="20">
        <f>Przedsięwzięcia!K31</f>
        <v>381000</v>
      </c>
      <c r="J21" s="20">
        <f>Przedsięwzięcia!L31</f>
        <v>381000</v>
      </c>
      <c r="K21" s="20">
        <f>Przedsięwzięcia!M31</f>
        <v>381000</v>
      </c>
      <c r="L21" s="20">
        <f>Przedsięwzięcia!N31</f>
        <v>381000</v>
      </c>
      <c r="M21" s="20">
        <f>Przedsięwzięcia!O31</f>
        <v>381000</v>
      </c>
      <c r="N21" s="20">
        <f>Przedsięwzięcia!P31</f>
        <v>381000</v>
      </c>
      <c r="O21" s="20">
        <f>Przedsięwzięcia!Q31</f>
        <v>381000</v>
      </c>
      <c r="P21" s="20">
        <f>Przedsięwzięcia!R31</f>
        <v>381000</v>
      </c>
      <c r="Q21" s="20">
        <f>Przedsięwzięcia!S31</f>
        <v>381000</v>
      </c>
      <c r="R21" s="20">
        <f>Przedsięwzięcia!T31</f>
        <v>381000</v>
      </c>
      <c r="S21" s="8"/>
      <c r="T21" s="8"/>
      <c r="U21" s="8"/>
      <c r="V21" s="8"/>
    </row>
    <row r="22" spans="1:22" ht="12.75" customHeight="1">
      <c r="A22" s="11" t="s">
        <v>21</v>
      </c>
      <c r="B22" s="82" t="s">
        <v>22</v>
      </c>
      <c r="C22" s="82"/>
      <c r="D22" s="12">
        <f aca="true" t="shared" si="2" ref="D22:R22">D23+D27+D28+D29</f>
        <v>9024019</v>
      </c>
      <c r="E22" s="12">
        <f t="shared" si="2"/>
        <v>3849216</v>
      </c>
      <c r="F22" s="12">
        <f t="shared" si="2"/>
        <v>1297497</v>
      </c>
      <c r="G22" s="12">
        <f t="shared" si="2"/>
        <v>300000</v>
      </c>
      <c r="H22" s="12">
        <f t="shared" si="2"/>
        <v>500000</v>
      </c>
      <c r="I22" s="12">
        <f t="shared" si="2"/>
        <v>200000</v>
      </c>
      <c r="J22" s="12">
        <f t="shared" si="2"/>
        <v>450000</v>
      </c>
      <c r="K22" s="12">
        <f t="shared" si="2"/>
        <v>0</v>
      </c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8"/>
      <c r="T22" s="8"/>
      <c r="U22" s="8"/>
      <c r="V22" s="8"/>
    </row>
    <row r="23" spans="1:22" ht="13.5">
      <c r="A23" s="13" t="s">
        <v>7</v>
      </c>
      <c r="B23" s="14"/>
      <c r="C23" s="15" t="s">
        <v>23</v>
      </c>
      <c r="D23" s="22">
        <f aca="true" t="shared" si="3" ref="D23:I23">D24+D25+D26</f>
        <v>7974019</v>
      </c>
      <c r="E23" s="22">
        <f t="shared" si="3"/>
        <v>3084466</v>
      </c>
      <c r="F23" s="22">
        <f t="shared" si="3"/>
        <v>1297497</v>
      </c>
      <c r="G23" s="22">
        <f t="shared" si="3"/>
        <v>300000</v>
      </c>
      <c r="H23" s="22">
        <f t="shared" si="3"/>
        <v>500000</v>
      </c>
      <c r="I23" s="22">
        <f t="shared" si="3"/>
        <v>200000</v>
      </c>
      <c r="J23" s="22">
        <v>450000</v>
      </c>
      <c r="K23" s="22">
        <f aca="true" t="shared" si="4" ref="K23:R23">K24+K25+K26</f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8"/>
      <c r="T23" s="8"/>
      <c r="U23" s="8"/>
      <c r="V23" s="8"/>
    </row>
    <row r="24" spans="1:22" ht="12.75">
      <c r="A24" s="11"/>
      <c r="B24" s="83" t="s">
        <v>11</v>
      </c>
      <c r="C24" s="18" t="s">
        <v>24</v>
      </c>
      <c r="D24" s="17">
        <v>1625000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8"/>
      <c r="T24" s="8"/>
      <c r="U24" s="8"/>
      <c r="V24" s="8"/>
    </row>
    <row r="25" spans="1:22" ht="12.75">
      <c r="A25" s="11"/>
      <c r="B25" s="83"/>
      <c r="C25" s="18" t="s">
        <v>25</v>
      </c>
      <c r="D25" s="17">
        <v>6349019</v>
      </c>
      <c r="E25" s="17">
        <v>3084466</v>
      </c>
      <c r="F25" s="17">
        <v>1297497</v>
      </c>
      <c r="G25" s="17">
        <v>300000</v>
      </c>
      <c r="H25" s="17">
        <v>500000</v>
      </c>
      <c r="I25" s="17">
        <v>200000</v>
      </c>
      <c r="J25" s="17"/>
      <c r="K25" s="17"/>
      <c r="L25" s="17"/>
      <c r="M25" s="17"/>
      <c r="N25" s="17"/>
      <c r="O25" s="17"/>
      <c r="P25" s="17"/>
      <c r="Q25" s="17"/>
      <c r="R25" s="17"/>
      <c r="S25" s="8"/>
      <c r="T25" s="8"/>
      <c r="U25" s="8"/>
      <c r="V25" s="8"/>
    </row>
    <row r="26" spans="1:22" ht="12.75">
      <c r="A26" s="11"/>
      <c r="B26" s="83"/>
      <c r="C26" s="18" t="s">
        <v>26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8"/>
      <c r="T26" s="8"/>
      <c r="U26" s="8"/>
      <c r="V26" s="8"/>
    </row>
    <row r="27" spans="1:22" ht="13.5">
      <c r="A27" s="13" t="s">
        <v>9</v>
      </c>
      <c r="B27" s="14"/>
      <c r="C27" s="15" t="s">
        <v>27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8"/>
      <c r="T27" s="8"/>
      <c r="U27" s="8"/>
      <c r="V27" s="8"/>
    </row>
    <row r="28" spans="1:22" ht="26.25" customHeight="1">
      <c r="A28" s="13" t="s">
        <v>28</v>
      </c>
      <c r="B28" s="14"/>
      <c r="C28" s="15" t="s">
        <v>29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8"/>
      <c r="T28" s="8"/>
      <c r="U28" s="8"/>
      <c r="V28" s="8"/>
    </row>
    <row r="29" spans="1:22" ht="13.5">
      <c r="A29" s="13" t="s">
        <v>30</v>
      </c>
      <c r="B29" s="14"/>
      <c r="C29" s="15" t="s">
        <v>31</v>
      </c>
      <c r="D29" s="16">
        <v>1050000</v>
      </c>
      <c r="E29" s="16">
        <v>764750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8"/>
      <c r="T29" s="8"/>
      <c r="U29" s="8"/>
      <c r="V29" s="8"/>
    </row>
    <row r="30" spans="1:22" ht="12.75" customHeight="1">
      <c r="A30" s="11" t="s">
        <v>32</v>
      </c>
      <c r="B30" s="82" t="s">
        <v>33</v>
      </c>
      <c r="C30" s="82"/>
      <c r="D30" s="12">
        <f aca="true" t="shared" si="5" ref="D30:R30">D31+D35</f>
        <v>2356730</v>
      </c>
      <c r="E30" s="12">
        <f t="shared" si="5"/>
        <v>3392770</v>
      </c>
      <c r="F30" s="12">
        <f t="shared" si="5"/>
        <v>2241800</v>
      </c>
      <c r="G30" s="12">
        <f t="shared" si="5"/>
        <v>2127672.45</v>
      </c>
      <c r="H30" s="12">
        <f t="shared" si="5"/>
        <v>1815730</v>
      </c>
      <c r="I30" s="12">
        <f t="shared" si="5"/>
        <v>1562679</v>
      </c>
      <c r="J30" s="12">
        <f t="shared" si="5"/>
        <v>1450000</v>
      </c>
      <c r="K30" s="12">
        <f t="shared" si="5"/>
        <v>1450000</v>
      </c>
      <c r="L30" s="12">
        <f t="shared" si="5"/>
        <v>1500000</v>
      </c>
      <c r="M30" s="12">
        <f t="shared" si="5"/>
        <v>1490722</v>
      </c>
      <c r="N30" s="12">
        <f t="shared" si="5"/>
        <v>1233459</v>
      </c>
      <c r="O30" s="12">
        <f t="shared" si="5"/>
        <v>462276</v>
      </c>
      <c r="P30" s="12">
        <f t="shared" si="5"/>
        <v>235247</v>
      </c>
      <c r="Q30" s="12">
        <f t="shared" si="5"/>
        <v>0</v>
      </c>
      <c r="R30" s="12">
        <f t="shared" si="5"/>
        <v>0</v>
      </c>
      <c r="S30" s="8"/>
      <c r="T30" s="8"/>
      <c r="U30" s="8"/>
      <c r="V30" s="8"/>
    </row>
    <row r="31" spans="1:22" ht="13.5">
      <c r="A31" s="13" t="s">
        <v>7</v>
      </c>
      <c r="B31" s="14"/>
      <c r="C31" s="15" t="s">
        <v>34</v>
      </c>
      <c r="D31" s="22">
        <f aca="true" t="shared" si="6" ref="D31:R31">D32+D33+D34</f>
        <v>2356730</v>
      </c>
      <c r="E31" s="22">
        <f t="shared" si="6"/>
        <v>3392770</v>
      </c>
      <c r="F31" s="22">
        <f t="shared" si="6"/>
        <v>2241800</v>
      </c>
      <c r="G31" s="22">
        <f t="shared" si="6"/>
        <v>2127672.45</v>
      </c>
      <c r="H31" s="22">
        <f t="shared" si="6"/>
        <v>1815730</v>
      </c>
      <c r="I31" s="22">
        <f t="shared" si="6"/>
        <v>1562679</v>
      </c>
      <c r="J31" s="22">
        <f t="shared" si="6"/>
        <v>1450000</v>
      </c>
      <c r="K31" s="22">
        <f t="shared" si="6"/>
        <v>1450000</v>
      </c>
      <c r="L31" s="22">
        <f t="shared" si="6"/>
        <v>1500000</v>
      </c>
      <c r="M31" s="22">
        <f t="shared" si="6"/>
        <v>1490722</v>
      </c>
      <c r="N31" s="22">
        <f t="shared" si="6"/>
        <v>1233459</v>
      </c>
      <c r="O31" s="22">
        <f t="shared" si="6"/>
        <v>462276</v>
      </c>
      <c r="P31" s="22">
        <f t="shared" si="6"/>
        <v>235247</v>
      </c>
      <c r="Q31" s="22">
        <f t="shared" si="6"/>
        <v>0</v>
      </c>
      <c r="R31" s="22">
        <f t="shared" si="6"/>
        <v>0</v>
      </c>
      <c r="S31" s="8"/>
      <c r="T31" s="8"/>
      <c r="U31" s="8"/>
      <c r="V31" s="8"/>
    </row>
    <row r="32" spans="1:22" ht="12.75">
      <c r="A32" s="11"/>
      <c r="B32" s="83" t="s">
        <v>11</v>
      </c>
      <c r="C32" s="18" t="s">
        <v>24</v>
      </c>
      <c r="D32" s="17">
        <v>100000</v>
      </c>
      <c r="E32" s="17">
        <v>1420380</v>
      </c>
      <c r="F32" s="17">
        <v>72100</v>
      </c>
      <c r="G32" s="17">
        <v>13400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8"/>
      <c r="T32" s="8"/>
      <c r="U32" s="8"/>
      <c r="V32" s="8"/>
    </row>
    <row r="33" spans="1:22" ht="12.75">
      <c r="A33" s="11"/>
      <c r="B33" s="83"/>
      <c r="C33" s="18" t="s">
        <v>25</v>
      </c>
      <c r="D33" s="17">
        <v>2256730</v>
      </c>
      <c r="E33" s="17">
        <v>1972390</v>
      </c>
      <c r="F33" s="17">
        <v>2169700</v>
      </c>
      <c r="G33" s="17">
        <v>2114272.45</v>
      </c>
      <c r="H33" s="17">
        <v>1815730</v>
      </c>
      <c r="I33" s="17">
        <v>1562679</v>
      </c>
      <c r="J33" s="17">
        <v>1450000</v>
      </c>
      <c r="K33" s="17">
        <v>1450000</v>
      </c>
      <c r="L33" s="17">
        <v>1500000</v>
      </c>
      <c r="M33" s="17">
        <v>1490722</v>
      </c>
      <c r="N33" s="17">
        <v>1233459</v>
      </c>
      <c r="O33" s="17">
        <v>462276</v>
      </c>
      <c r="P33" s="17">
        <v>235247</v>
      </c>
      <c r="Q33" s="17"/>
      <c r="R33" s="17"/>
      <c r="S33" s="8"/>
      <c r="T33" s="8"/>
      <c r="U33" s="8"/>
      <c r="V33" s="8"/>
    </row>
    <row r="34" spans="1:22" ht="12.75">
      <c r="A34" s="11"/>
      <c r="B34" s="83"/>
      <c r="C34" s="18" t="s">
        <v>35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8"/>
      <c r="T34" s="8"/>
      <c r="U34" s="8"/>
      <c r="V34" s="8"/>
    </row>
    <row r="35" spans="1:22" ht="13.5">
      <c r="A35" s="13" t="s">
        <v>9</v>
      </c>
      <c r="B35" s="14"/>
      <c r="C35" s="15" t="s">
        <v>36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8"/>
      <c r="T35" s="8"/>
      <c r="U35" s="8"/>
      <c r="V35" s="8"/>
    </row>
    <row r="36" spans="1:22" ht="12.75" customHeight="1">
      <c r="A36" s="11" t="s">
        <v>37</v>
      </c>
      <c r="B36" s="82" t="s">
        <v>38</v>
      </c>
      <c r="C36" s="82"/>
      <c r="D36" s="12">
        <f aca="true" t="shared" si="7" ref="D36:R36">D7-D11</f>
        <v>-6667289</v>
      </c>
      <c r="E36" s="12">
        <f t="shared" si="7"/>
        <v>-456446</v>
      </c>
      <c r="F36" s="12">
        <f t="shared" si="7"/>
        <v>944303</v>
      </c>
      <c r="G36" s="12">
        <f t="shared" si="7"/>
        <v>1827672</v>
      </c>
      <c r="H36" s="12">
        <f t="shared" si="7"/>
        <v>1315730</v>
      </c>
      <c r="I36" s="12">
        <f t="shared" si="7"/>
        <v>1362679</v>
      </c>
      <c r="J36" s="12">
        <f t="shared" si="7"/>
        <v>1000000</v>
      </c>
      <c r="K36" s="12">
        <f t="shared" si="7"/>
        <v>1450000</v>
      </c>
      <c r="L36" s="12">
        <f t="shared" si="7"/>
        <v>1500000</v>
      </c>
      <c r="M36" s="12">
        <f t="shared" si="7"/>
        <v>1490722</v>
      </c>
      <c r="N36" s="12">
        <f t="shared" si="7"/>
        <v>1233459</v>
      </c>
      <c r="O36" s="12">
        <f t="shared" si="7"/>
        <v>462276</v>
      </c>
      <c r="P36" s="12">
        <f t="shared" si="7"/>
        <v>235247</v>
      </c>
      <c r="Q36" s="12">
        <f t="shared" si="7"/>
        <v>0</v>
      </c>
      <c r="R36" s="12">
        <f t="shared" si="7"/>
        <v>0</v>
      </c>
      <c r="S36" s="8"/>
      <c r="T36" s="8"/>
      <c r="U36" s="8"/>
      <c r="V36" s="8"/>
    </row>
    <row r="37" spans="1:22" ht="12.75" customHeight="1">
      <c r="A37" s="11" t="s">
        <v>39</v>
      </c>
      <c r="B37" s="82" t="s">
        <v>40</v>
      </c>
      <c r="C37" s="82"/>
      <c r="D37" s="12">
        <f aca="true" t="shared" si="8" ref="D37:R37">D38+D39+D40+D41+D42+D43</f>
        <v>6667289</v>
      </c>
      <c r="E37" s="12">
        <f t="shared" si="8"/>
        <v>456446</v>
      </c>
      <c r="F37" s="12">
        <f t="shared" si="8"/>
        <v>0</v>
      </c>
      <c r="G37" s="12">
        <f t="shared" si="8"/>
        <v>0</v>
      </c>
      <c r="H37" s="12">
        <f t="shared" si="8"/>
        <v>0</v>
      </c>
      <c r="I37" s="12">
        <f t="shared" si="8"/>
        <v>0</v>
      </c>
      <c r="J37" s="12">
        <f t="shared" si="8"/>
        <v>0</v>
      </c>
      <c r="K37" s="12">
        <f t="shared" si="8"/>
        <v>0</v>
      </c>
      <c r="L37" s="12">
        <f t="shared" si="8"/>
        <v>0</v>
      </c>
      <c r="M37" s="12">
        <f t="shared" si="8"/>
        <v>0</v>
      </c>
      <c r="N37" s="12">
        <f t="shared" si="8"/>
        <v>0</v>
      </c>
      <c r="O37" s="12">
        <f t="shared" si="8"/>
        <v>0</v>
      </c>
      <c r="P37" s="12">
        <f t="shared" si="8"/>
        <v>0</v>
      </c>
      <c r="Q37" s="12">
        <f t="shared" si="8"/>
        <v>0</v>
      </c>
      <c r="R37" s="12">
        <f t="shared" si="8"/>
        <v>0</v>
      </c>
      <c r="S37" s="8"/>
      <c r="T37" s="8"/>
      <c r="U37" s="8"/>
      <c r="V37" s="8"/>
    </row>
    <row r="38" spans="1:22" ht="13.5">
      <c r="A38" s="11"/>
      <c r="B38" s="23"/>
      <c r="C38" s="15" t="s">
        <v>24</v>
      </c>
      <c r="D38" s="20">
        <f aca="true" t="shared" si="9" ref="D38:R38">IF(D36&lt;0,IF(D24&gt;(-D36),(-D36),D24),0)</f>
        <v>1625000</v>
      </c>
      <c r="E38" s="20">
        <f t="shared" si="9"/>
        <v>0</v>
      </c>
      <c r="F38" s="20">
        <f t="shared" si="9"/>
        <v>0</v>
      </c>
      <c r="G38" s="20">
        <f t="shared" si="9"/>
        <v>0</v>
      </c>
      <c r="H38" s="20">
        <f t="shared" si="9"/>
        <v>0</v>
      </c>
      <c r="I38" s="20">
        <f t="shared" si="9"/>
        <v>0</v>
      </c>
      <c r="J38" s="20">
        <f t="shared" si="9"/>
        <v>0</v>
      </c>
      <c r="K38" s="20">
        <f t="shared" si="9"/>
        <v>0</v>
      </c>
      <c r="L38" s="20">
        <f t="shared" si="9"/>
        <v>0</v>
      </c>
      <c r="M38" s="20">
        <f t="shared" si="9"/>
        <v>0</v>
      </c>
      <c r="N38" s="20">
        <f t="shared" si="9"/>
        <v>0</v>
      </c>
      <c r="O38" s="20">
        <f t="shared" si="9"/>
        <v>0</v>
      </c>
      <c r="P38" s="20">
        <f t="shared" si="9"/>
        <v>0</v>
      </c>
      <c r="Q38" s="20">
        <f t="shared" si="9"/>
        <v>0</v>
      </c>
      <c r="R38" s="20">
        <f t="shared" si="9"/>
        <v>0</v>
      </c>
      <c r="S38" s="8"/>
      <c r="T38" s="8"/>
      <c r="U38" s="8"/>
      <c r="V38" s="8"/>
    </row>
    <row r="39" spans="1:22" ht="13.5">
      <c r="A39" s="11"/>
      <c r="B39" s="23"/>
      <c r="C39" s="15" t="s">
        <v>25</v>
      </c>
      <c r="D39" s="20">
        <f aca="true" t="shared" si="10" ref="D39:R39">IF((D38+D36)&lt;0,IF(D25&gt;(-D36-D38),(-D36-D38),D25),0)</f>
        <v>5042289</v>
      </c>
      <c r="E39" s="20">
        <f t="shared" si="10"/>
        <v>456446</v>
      </c>
      <c r="F39" s="20">
        <f t="shared" si="10"/>
        <v>0</v>
      </c>
      <c r="G39" s="20">
        <f t="shared" si="10"/>
        <v>0</v>
      </c>
      <c r="H39" s="20">
        <f t="shared" si="10"/>
        <v>0</v>
      </c>
      <c r="I39" s="20">
        <f t="shared" si="10"/>
        <v>0</v>
      </c>
      <c r="J39" s="20">
        <f t="shared" si="10"/>
        <v>0</v>
      </c>
      <c r="K39" s="20">
        <f t="shared" si="10"/>
        <v>0</v>
      </c>
      <c r="L39" s="20">
        <f t="shared" si="10"/>
        <v>0</v>
      </c>
      <c r="M39" s="20">
        <f t="shared" si="10"/>
        <v>0</v>
      </c>
      <c r="N39" s="20">
        <f t="shared" si="10"/>
        <v>0</v>
      </c>
      <c r="O39" s="20">
        <f t="shared" si="10"/>
        <v>0</v>
      </c>
      <c r="P39" s="20">
        <f t="shared" si="10"/>
        <v>0</v>
      </c>
      <c r="Q39" s="20">
        <f t="shared" si="10"/>
        <v>0</v>
      </c>
      <c r="R39" s="20">
        <f t="shared" si="10"/>
        <v>0</v>
      </c>
      <c r="S39" s="8"/>
      <c r="T39" s="8"/>
      <c r="U39" s="8"/>
      <c r="V39" s="8"/>
    </row>
    <row r="40" spans="1:22" ht="13.5">
      <c r="A40" s="11"/>
      <c r="B40" s="23"/>
      <c r="C40" s="15" t="s">
        <v>26</v>
      </c>
      <c r="D40" s="20">
        <f aca="true" t="shared" si="11" ref="D40:R40">IF((D38+D36+D39)&lt;0,IF(D26&gt;(-D36-D38-D39),(-D36-D38-D39),D26),0)</f>
        <v>0</v>
      </c>
      <c r="E40" s="20">
        <f t="shared" si="11"/>
        <v>0</v>
      </c>
      <c r="F40" s="20">
        <f t="shared" si="11"/>
        <v>0</v>
      </c>
      <c r="G40" s="20">
        <f t="shared" si="11"/>
        <v>0</v>
      </c>
      <c r="H40" s="20">
        <f t="shared" si="11"/>
        <v>0</v>
      </c>
      <c r="I40" s="20">
        <f t="shared" si="11"/>
        <v>0</v>
      </c>
      <c r="J40" s="20">
        <f t="shared" si="11"/>
        <v>0</v>
      </c>
      <c r="K40" s="20">
        <f t="shared" si="11"/>
        <v>0</v>
      </c>
      <c r="L40" s="20">
        <f t="shared" si="11"/>
        <v>0</v>
      </c>
      <c r="M40" s="20">
        <f t="shared" si="11"/>
        <v>0</v>
      </c>
      <c r="N40" s="20">
        <f t="shared" si="11"/>
        <v>0</v>
      </c>
      <c r="O40" s="20">
        <f t="shared" si="11"/>
        <v>0</v>
      </c>
      <c r="P40" s="20">
        <f t="shared" si="11"/>
        <v>0</v>
      </c>
      <c r="Q40" s="20">
        <f t="shared" si="11"/>
        <v>0</v>
      </c>
      <c r="R40" s="20">
        <f t="shared" si="11"/>
        <v>0</v>
      </c>
      <c r="S40" s="8"/>
      <c r="T40" s="8"/>
      <c r="U40" s="8"/>
      <c r="V40" s="8"/>
    </row>
    <row r="41" spans="1:22" ht="13.5">
      <c r="A41" s="11"/>
      <c r="B41" s="23"/>
      <c r="C41" s="15" t="s">
        <v>27</v>
      </c>
      <c r="D41" s="20">
        <f aca="true" t="shared" si="12" ref="D41:R41">IF((D38+D36+D39+D40)&lt;0,IF(D27&gt;(-D36-D38-D39-D40),(-D36-D38-D39-D40),D27),0)</f>
        <v>0</v>
      </c>
      <c r="E41" s="20">
        <f t="shared" si="12"/>
        <v>0</v>
      </c>
      <c r="F41" s="20">
        <f t="shared" si="12"/>
        <v>0</v>
      </c>
      <c r="G41" s="20">
        <f t="shared" si="12"/>
        <v>0</v>
      </c>
      <c r="H41" s="20">
        <f t="shared" si="12"/>
        <v>0</v>
      </c>
      <c r="I41" s="20">
        <f t="shared" si="12"/>
        <v>0</v>
      </c>
      <c r="J41" s="20">
        <f t="shared" si="12"/>
        <v>0</v>
      </c>
      <c r="K41" s="20">
        <f t="shared" si="12"/>
        <v>0</v>
      </c>
      <c r="L41" s="20">
        <f t="shared" si="12"/>
        <v>0</v>
      </c>
      <c r="M41" s="20">
        <f t="shared" si="12"/>
        <v>0</v>
      </c>
      <c r="N41" s="20">
        <f t="shared" si="12"/>
        <v>0</v>
      </c>
      <c r="O41" s="20">
        <f t="shared" si="12"/>
        <v>0</v>
      </c>
      <c r="P41" s="20">
        <f t="shared" si="12"/>
        <v>0</v>
      </c>
      <c r="Q41" s="20">
        <f t="shared" si="12"/>
        <v>0</v>
      </c>
      <c r="R41" s="20">
        <f t="shared" si="12"/>
        <v>0</v>
      </c>
      <c r="S41" s="8"/>
      <c r="T41" s="8"/>
      <c r="U41" s="8"/>
      <c r="V41" s="8"/>
    </row>
    <row r="42" spans="1:22" ht="26.25" customHeight="1">
      <c r="A42" s="11"/>
      <c r="B42" s="23"/>
      <c r="C42" s="15" t="s">
        <v>29</v>
      </c>
      <c r="D42" s="20">
        <f aca="true" t="shared" si="13" ref="D42:R42">IF((D38+D36+D39+D40+D41)&lt;0,IF(D28&gt;(-D36-D38-D39-D40-D41),(-D36-D38-D39-D40-D41),D28),0)</f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t="shared" si="13"/>
        <v>0</v>
      </c>
      <c r="J42" s="20">
        <f t="shared" si="13"/>
        <v>0</v>
      </c>
      <c r="K42" s="20">
        <f t="shared" si="13"/>
        <v>0</v>
      </c>
      <c r="L42" s="20">
        <f t="shared" si="13"/>
        <v>0</v>
      </c>
      <c r="M42" s="20">
        <f t="shared" si="13"/>
        <v>0</v>
      </c>
      <c r="N42" s="20">
        <f t="shared" si="13"/>
        <v>0</v>
      </c>
      <c r="O42" s="20">
        <f t="shared" si="13"/>
        <v>0</v>
      </c>
      <c r="P42" s="20">
        <f t="shared" si="13"/>
        <v>0</v>
      </c>
      <c r="Q42" s="20">
        <f t="shared" si="13"/>
        <v>0</v>
      </c>
      <c r="R42" s="20">
        <f t="shared" si="13"/>
        <v>0</v>
      </c>
      <c r="S42" s="8"/>
      <c r="T42" s="8"/>
      <c r="U42" s="8"/>
      <c r="V42" s="8"/>
    </row>
    <row r="43" spans="1:22" ht="13.5">
      <c r="A43" s="11"/>
      <c r="B43" s="23"/>
      <c r="C43" s="15" t="s">
        <v>31</v>
      </c>
      <c r="D43" s="20">
        <f aca="true" t="shared" si="14" ref="D43:R43">IF((D38+D36+D39+D40+D41+D42)&lt;0,IF(D29&gt;(-D36-D38-D39-D40-D41-D42),(-D36-D38-D39-D40-D41-D42),D29),0)</f>
        <v>0</v>
      </c>
      <c r="E43" s="20">
        <f t="shared" si="14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  <c r="K43" s="20">
        <f t="shared" si="14"/>
        <v>0</v>
      </c>
      <c r="L43" s="20">
        <f t="shared" si="14"/>
        <v>0</v>
      </c>
      <c r="M43" s="20">
        <f t="shared" si="14"/>
        <v>0</v>
      </c>
      <c r="N43" s="20">
        <f t="shared" si="14"/>
        <v>0</v>
      </c>
      <c r="O43" s="20">
        <f t="shared" si="14"/>
        <v>0</v>
      </c>
      <c r="P43" s="20">
        <f t="shared" si="14"/>
        <v>0</v>
      </c>
      <c r="Q43" s="20">
        <f t="shared" si="14"/>
        <v>0</v>
      </c>
      <c r="R43" s="20">
        <f t="shared" si="14"/>
        <v>0</v>
      </c>
      <c r="S43" s="8"/>
      <c r="T43" s="8"/>
      <c r="U43" s="8"/>
      <c r="V43" s="8"/>
    </row>
    <row r="44" spans="1:22" ht="12.75" customHeight="1">
      <c r="A44" s="11" t="s">
        <v>41</v>
      </c>
      <c r="B44" s="82" t="s">
        <v>42</v>
      </c>
      <c r="C44" s="82"/>
      <c r="D44" s="12">
        <f aca="true" t="shared" si="15" ref="D44:R44">IF(D36&gt;0,D36,0)</f>
        <v>0</v>
      </c>
      <c r="E44" s="12">
        <f t="shared" si="15"/>
        <v>0</v>
      </c>
      <c r="F44" s="12">
        <f t="shared" si="15"/>
        <v>944303</v>
      </c>
      <c r="G44" s="12">
        <f t="shared" si="15"/>
        <v>1827672</v>
      </c>
      <c r="H44" s="12">
        <f t="shared" si="15"/>
        <v>1315730</v>
      </c>
      <c r="I44" s="12">
        <f t="shared" si="15"/>
        <v>1362679</v>
      </c>
      <c r="J44" s="12">
        <f t="shared" si="15"/>
        <v>1000000</v>
      </c>
      <c r="K44" s="12">
        <f t="shared" si="15"/>
        <v>1450000</v>
      </c>
      <c r="L44" s="12">
        <f t="shared" si="15"/>
        <v>1500000</v>
      </c>
      <c r="M44" s="12">
        <f t="shared" si="15"/>
        <v>1490722</v>
      </c>
      <c r="N44" s="12">
        <f t="shared" si="15"/>
        <v>1233459</v>
      </c>
      <c r="O44" s="12">
        <f t="shared" si="15"/>
        <v>462276</v>
      </c>
      <c r="P44" s="12">
        <f t="shared" si="15"/>
        <v>235247</v>
      </c>
      <c r="Q44" s="12">
        <f t="shared" si="15"/>
        <v>0</v>
      </c>
      <c r="R44" s="12">
        <f t="shared" si="15"/>
        <v>0</v>
      </c>
      <c r="S44" s="8"/>
      <c r="T44" s="8"/>
      <c r="U44" s="8"/>
      <c r="V44" s="8"/>
    </row>
    <row r="45" spans="1:22" ht="13.5">
      <c r="A45" s="11"/>
      <c r="B45" s="23"/>
      <c r="C45" s="15" t="s">
        <v>43</v>
      </c>
      <c r="D45" s="20">
        <f aca="true" t="shared" si="16" ref="D45:R45">D44-D46</f>
        <v>0</v>
      </c>
      <c r="E45" s="20">
        <f t="shared" si="16"/>
        <v>0</v>
      </c>
      <c r="F45" s="20">
        <f t="shared" si="16"/>
        <v>944303</v>
      </c>
      <c r="G45" s="20">
        <f t="shared" si="16"/>
        <v>1827672</v>
      </c>
      <c r="H45" s="20">
        <f t="shared" si="16"/>
        <v>1315730</v>
      </c>
      <c r="I45" s="20">
        <f t="shared" si="16"/>
        <v>1362679</v>
      </c>
      <c r="J45" s="20">
        <f t="shared" si="16"/>
        <v>1000000</v>
      </c>
      <c r="K45" s="20">
        <f t="shared" si="16"/>
        <v>1450000</v>
      </c>
      <c r="L45" s="20">
        <f t="shared" si="16"/>
        <v>1500000</v>
      </c>
      <c r="M45" s="20">
        <f t="shared" si="16"/>
        <v>1490722</v>
      </c>
      <c r="N45" s="20">
        <f t="shared" si="16"/>
        <v>1233459</v>
      </c>
      <c r="O45" s="20">
        <f t="shared" si="16"/>
        <v>462276</v>
      </c>
      <c r="P45" s="20">
        <f t="shared" si="16"/>
        <v>235247</v>
      </c>
      <c r="Q45" s="20">
        <f t="shared" si="16"/>
        <v>0</v>
      </c>
      <c r="R45" s="20">
        <f t="shared" si="16"/>
        <v>0</v>
      </c>
      <c r="S45" s="8"/>
      <c r="T45" s="8"/>
      <c r="U45" s="8"/>
      <c r="V45" s="8"/>
    </row>
    <row r="46" spans="1:22" ht="13.5">
      <c r="A46" s="11"/>
      <c r="B46" s="23"/>
      <c r="C46" s="15" t="s">
        <v>44</v>
      </c>
      <c r="D46" s="20">
        <f aca="true" t="shared" si="17" ref="D46:R46">IF(D36&gt;0,IF(D35&gt;D36,D36,D35),0)</f>
        <v>0</v>
      </c>
      <c r="E46" s="20">
        <f t="shared" si="17"/>
        <v>0</v>
      </c>
      <c r="F46" s="20">
        <f t="shared" si="17"/>
        <v>0</v>
      </c>
      <c r="G46" s="20">
        <f t="shared" si="17"/>
        <v>0</v>
      </c>
      <c r="H46" s="20">
        <f t="shared" si="17"/>
        <v>0</v>
      </c>
      <c r="I46" s="20">
        <f t="shared" si="17"/>
        <v>0</v>
      </c>
      <c r="J46" s="20">
        <f t="shared" si="17"/>
        <v>0</v>
      </c>
      <c r="K46" s="20">
        <f t="shared" si="17"/>
        <v>0</v>
      </c>
      <c r="L46" s="20">
        <f t="shared" si="17"/>
        <v>0</v>
      </c>
      <c r="M46" s="20">
        <f t="shared" si="17"/>
        <v>0</v>
      </c>
      <c r="N46" s="20">
        <f t="shared" si="17"/>
        <v>0</v>
      </c>
      <c r="O46" s="20">
        <f t="shared" si="17"/>
        <v>0</v>
      </c>
      <c r="P46" s="20">
        <f t="shared" si="17"/>
        <v>0</v>
      </c>
      <c r="Q46" s="20">
        <f t="shared" si="17"/>
        <v>0</v>
      </c>
      <c r="R46" s="20">
        <f t="shared" si="17"/>
        <v>0</v>
      </c>
      <c r="S46" s="8"/>
      <c r="T46" s="8"/>
      <c r="U46" s="8"/>
      <c r="V46" s="8"/>
    </row>
    <row r="47" spans="1:22" ht="12.75">
      <c r="A47" s="11"/>
      <c r="B47" s="23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8"/>
      <c r="T47" s="8"/>
      <c r="U47" s="8"/>
      <c r="V47" s="8"/>
    </row>
    <row r="48" spans="1:22" ht="12.75" customHeight="1">
      <c r="A48" s="11" t="s">
        <v>45</v>
      </c>
      <c r="B48" s="82" t="s">
        <v>46</v>
      </c>
      <c r="C48" s="82"/>
      <c r="D48" s="12">
        <f>Startowa!D4+Startowa!D18+D23-D31-Startowa!D20-Startowa!D21-Startowa!D19</f>
        <v>13130392</v>
      </c>
      <c r="E48" s="12">
        <f aca="true" t="shared" si="18" ref="E48:R48">D48+E23-E31</f>
        <v>12822088</v>
      </c>
      <c r="F48" s="12">
        <f t="shared" si="18"/>
        <v>11877785</v>
      </c>
      <c r="G48" s="12">
        <f t="shared" si="18"/>
        <v>10050112.55</v>
      </c>
      <c r="H48" s="12">
        <f t="shared" si="18"/>
        <v>8734382.55</v>
      </c>
      <c r="I48" s="12">
        <f t="shared" si="18"/>
        <v>7371703.550000001</v>
      </c>
      <c r="J48" s="12">
        <f t="shared" si="18"/>
        <v>6371703.550000001</v>
      </c>
      <c r="K48" s="12">
        <f t="shared" si="18"/>
        <v>4921703.550000001</v>
      </c>
      <c r="L48" s="12">
        <f t="shared" si="18"/>
        <v>3421703.5500000007</v>
      </c>
      <c r="M48" s="12">
        <f t="shared" si="18"/>
        <v>1930981.5500000007</v>
      </c>
      <c r="N48" s="12">
        <f t="shared" si="18"/>
        <v>697522.5500000007</v>
      </c>
      <c r="O48" s="12">
        <f t="shared" si="18"/>
        <v>235246.55000000075</v>
      </c>
      <c r="P48" s="12">
        <f t="shared" si="18"/>
        <v>-0.44999999925494194</v>
      </c>
      <c r="Q48" s="12">
        <f t="shared" si="18"/>
        <v>-0.44999999925494194</v>
      </c>
      <c r="R48" s="12">
        <f t="shared" si="18"/>
        <v>-0.44999999925494194</v>
      </c>
      <c r="S48" s="8"/>
      <c r="T48" s="8"/>
      <c r="U48" s="8"/>
      <c r="V48" s="8"/>
    </row>
    <row r="49" spans="1:22" ht="12.75">
      <c r="A49" s="11"/>
      <c r="B49" s="23"/>
      <c r="C49" s="1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8"/>
      <c r="T49" s="8"/>
      <c r="U49" s="8"/>
      <c r="V49" s="8"/>
    </row>
    <row r="50" spans="1:22" ht="12.75">
      <c r="A50" s="11"/>
      <c r="B50" s="23"/>
      <c r="C50" s="1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8"/>
      <c r="T50" s="8"/>
      <c r="U50" s="8"/>
      <c r="V50" s="8"/>
    </row>
    <row r="51" spans="1:22" ht="37.5" customHeight="1">
      <c r="A51" s="11" t="s">
        <v>47</v>
      </c>
      <c r="B51" s="82" t="s">
        <v>48</v>
      </c>
      <c r="C51" s="82"/>
      <c r="D51" s="25">
        <f>(D13+D31+D14+D19)/D7</f>
        <v>0.08388718923168163</v>
      </c>
      <c r="E51" s="25">
        <f>(E13+E31+E14+E19)/E7</f>
        <v>0.13667556335881612</v>
      </c>
      <c r="F51" s="25">
        <f>(F13+F31+F14+F19)/F7</f>
        <v>0.10101573615409085</v>
      </c>
      <c r="G51" s="25">
        <f>(G13+G31+G14+G19)/G7</f>
        <v>0.09437710499544795</v>
      </c>
      <c r="H51" s="11" t="s">
        <v>20</v>
      </c>
      <c r="I51" s="11" t="s">
        <v>20</v>
      </c>
      <c r="J51" s="11" t="s">
        <v>20</v>
      </c>
      <c r="K51" s="11" t="s">
        <v>20</v>
      </c>
      <c r="L51" s="11" t="s">
        <v>20</v>
      </c>
      <c r="M51" s="11" t="s">
        <v>20</v>
      </c>
      <c r="N51" s="11" t="s">
        <v>20</v>
      </c>
      <c r="O51" s="11" t="s">
        <v>20</v>
      </c>
      <c r="P51" s="11" t="s">
        <v>20</v>
      </c>
      <c r="Q51" s="11" t="s">
        <v>20</v>
      </c>
      <c r="R51" s="11" t="s">
        <v>20</v>
      </c>
      <c r="S51" s="8"/>
      <c r="T51" s="8"/>
      <c r="U51" s="8"/>
      <c r="V51" s="8"/>
    </row>
    <row r="52" spans="1:22" ht="36.75" customHeight="1">
      <c r="A52" s="11" t="s">
        <v>49</v>
      </c>
      <c r="B52" s="82" t="s">
        <v>50</v>
      </c>
      <c r="C52" s="82"/>
      <c r="D52" s="25">
        <f>D48/D7</f>
        <v>0.36629886578788995</v>
      </c>
      <c r="E52" s="25">
        <f>E48/E7</f>
        <v>0.41309767747074094</v>
      </c>
      <c r="F52" s="25">
        <f>F48/F7</f>
        <v>0.39650370074037505</v>
      </c>
      <c r="G52" s="25">
        <f>G48/G7</f>
        <v>0.3319574555537892</v>
      </c>
      <c r="H52" s="11" t="s">
        <v>20</v>
      </c>
      <c r="I52" s="11" t="s">
        <v>20</v>
      </c>
      <c r="J52" s="11" t="s">
        <v>20</v>
      </c>
      <c r="K52" s="11" t="s">
        <v>20</v>
      </c>
      <c r="L52" s="11" t="s">
        <v>20</v>
      </c>
      <c r="M52" s="11" t="s">
        <v>20</v>
      </c>
      <c r="N52" s="11" t="s">
        <v>20</v>
      </c>
      <c r="O52" s="11" t="s">
        <v>20</v>
      </c>
      <c r="P52" s="11" t="s">
        <v>20</v>
      </c>
      <c r="Q52" s="11" t="s">
        <v>20</v>
      </c>
      <c r="R52" s="11" t="s">
        <v>20</v>
      </c>
      <c r="S52" s="8"/>
      <c r="T52" s="8"/>
      <c r="U52" s="8"/>
      <c r="V52" s="8"/>
    </row>
    <row r="53" spans="1:22" ht="47.25" customHeight="1">
      <c r="A53" s="11" t="s">
        <v>51</v>
      </c>
      <c r="B53" s="82" t="s">
        <v>52</v>
      </c>
      <c r="C53" s="82"/>
      <c r="D53" s="26" t="s">
        <v>20</v>
      </c>
      <c r="E53" s="26">
        <f aca="true" t="shared" si="19" ref="E53:R53">(E31+E13+E14)/E7</f>
        <v>0.13667556335881612</v>
      </c>
      <c r="F53" s="26">
        <f t="shared" si="19"/>
        <v>0.10101573615409085</v>
      </c>
      <c r="G53" s="26">
        <f t="shared" si="19"/>
        <v>0.09437710499544795</v>
      </c>
      <c r="H53" s="26">
        <f t="shared" si="19"/>
        <v>0.07744488977407626</v>
      </c>
      <c r="I53" s="26">
        <f t="shared" si="19"/>
        <v>0.06301405962210077</v>
      </c>
      <c r="J53" s="26">
        <f t="shared" si="19"/>
        <v>0.05785414086619096</v>
      </c>
      <c r="K53" s="26">
        <f t="shared" si="19"/>
        <v>0.0554029885561357</v>
      </c>
      <c r="L53" s="26">
        <f t="shared" si="19"/>
        <v>0.05452847598459948</v>
      </c>
      <c r="M53" s="26">
        <f t="shared" si="19"/>
        <v>0.04927806071160686</v>
      </c>
      <c r="N53" s="26">
        <f t="shared" si="19"/>
        <v>0.03935583958389939</v>
      </c>
      <c r="O53" s="26">
        <f t="shared" si="19"/>
        <v>0.01508282738622141</v>
      </c>
      <c r="P53" s="26">
        <f t="shared" si="19"/>
        <v>0.006857769761283602</v>
      </c>
      <c r="Q53" s="26">
        <f t="shared" si="19"/>
        <v>0</v>
      </c>
      <c r="R53" s="26">
        <f t="shared" si="19"/>
        <v>0</v>
      </c>
      <c r="S53" s="8"/>
      <c r="T53" s="8"/>
      <c r="U53" s="8"/>
      <c r="V53" s="8"/>
    </row>
    <row r="54" spans="1:22" ht="63.75" customHeight="1">
      <c r="A54" s="11" t="s">
        <v>53</v>
      </c>
      <c r="B54" s="82" t="s">
        <v>54</v>
      </c>
      <c r="C54" s="82"/>
      <c r="D54" s="26" t="s">
        <v>20</v>
      </c>
      <c r="E54" s="26">
        <f>(D67+Startowa!D15+Startowa!C15)/3</f>
        <v>0.08787496288000844</v>
      </c>
      <c r="F54" s="26">
        <f>(E67+D67+Startowa!D15)/3</f>
        <v>0.0693266268351497</v>
      </c>
      <c r="G54" s="26">
        <f>(F67+E67+D67)/3</f>
        <v>0.05494613048718347</v>
      </c>
      <c r="H54" s="26">
        <f aca="true" t="shared" si="20" ref="H54:R54">(E67+F67+G67)/3</f>
        <v>0.077940363475257</v>
      </c>
      <c r="I54" s="26">
        <f t="shared" si="20"/>
        <v>0.09993753934323057</v>
      </c>
      <c r="J54" s="26">
        <f t="shared" si="20"/>
        <v>0.11205331473906739</v>
      </c>
      <c r="K54" s="26">
        <f t="shared" si="20"/>
        <v>0.11498318890130028</v>
      </c>
      <c r="L54" s="26">
        <f t="shared" si="20"/>
        <v>0.11637175386302612</v>
      </c>
      <c r="M54" s="26">
        <f t="shared" si="20"/>
        <v>0.11207985663792512</v>
      </c>
      <c r="N54" s="26">
        <f t="shared" si="20"/>
        <v>0.11061108508941653</v>
      </c>
      <c r="O54" s="26">
        <f t="shared" si="20"/>
        <v>0.10325247568034972</v>
      </c>
      <c r="P54" s="26">
        <f t="shared" si="20"/>
        <v>0.09439273820262058</v>
      </c>
      <c r="Q54" s="26">
        <f t="shared" si="20"/>
        <v>0.08548913283483607</v>
      </c>
      <c r="R54" s="26">
        <f t="shared" si="20"/>
        <v>0.08095888607122283</v>
      </c>
      <c r="S54" s="8"/>
      <c r="T54" s="8"/>
      <c r="U54" s="8"/>
      <c r="V54" s="8"/>
    </row>
    <row r="55" spans="1:22" ht="54" customHeight="1">
      <c r="A55" s="11" t="s">
        <v>55</v>
      </c>
      <c r="B55" s="82" t="s">
        <v>56</v>
      </c>
      <c r="C55" s="82"/>
      <c r="D55" s="26" t="s">
        <v>20</v>
      </c>
      <c r="E55" s="26">
        <f aca="true" t="shared" si="21" ref="E55:R55">E54-E53</f>
        <v>-0.048800600478807674</v>
      </c>
      <c r="F55" s="26">
        <f t="shared" si="21"/>
        <v>-0.031689109318941144</v>
      </c>
      <c r="G55" s="26">
        <f t="shared" si="21"/>
        <v>-0.03943097450826448</v>
      </c>
      <c r="H55" s="26">
        <f t="shared" si="21"/>
        <v>0.0004954737011807347</v>
      </c>
      <c r="I55" s="26">
        <f t="shared" si="21"/>
        <v>0.036923479721129804</v>
      </c>
      <c r="J55" s="26">
        <f t="shared" si="21"/>
        <v>0.054199173872876434</v>
      </c>
      <c r="K55" s="26">
        <f t="shared" si="21"/>
        <v>0.059580200345164584</v>
      </c>
      <c r="L55" s="26">
        <f t="shared" si="21"/>
        <v>0.06184327787842664</v>
      </c>
      <c r="M55" s="26">
        <f t="shared" si="21"/>
        <v>0.06280179592631827</v>
      </c>
      <c r="N55" s="26">
        <f t="shared" si="21"/>
        <v>0.07125524550551714</v>
      </c>
      <c r="O55" s="26">
        <f t="shared" si="21"/>
        <v>0.08816964829412831</v>
      </c>
      <c r="P55" s="26">
        <f t="shared" si="21"/>
        <v>0.08753496844133697</v>
      </c>
      <c r="Q55" s="26">
        <f t="shared" si="21"/>
        <v>0.08548913283483607</v>
      </c>
      <c r="R55" s="26">
        <f t="shared" si="21"/>
        <v>0.08095888607122283</v>
      </c>
      <c r="S55" s="8"/>
      <c r="T55" s="8"/>
      <c r="U55" s="8"/>
      <c r="V55" s="8"/>
    </row>
    <row r="56" spans="1:22" ht="20.25" customHeight="1">
      <c r="A56" s="79" t="s">
        <v>57</v>
      </c>
      <c r="B56" s="80" t="s">
        <v>58</v>
      </c>
      <c r="C56" s="15" t="s">
        <v>24</v>
      </c>
      <c r="D56" s="20">
        <f aca="true" t="shared" si="22" ref="D56:R56">IF(D31&gt;0,IF(D24&gt;(D31),(D31),D24),0)</f>
        <v>1625000</v>
      </c>
      <c r="E56" s="20">
        <f t="shared" si="22"/>
        <v>0</v>
      </c>
      <c r="F56" s="20">
        <f t="shared" si="22"/>
        <v>0</v>
      </c>
      <c r="G56" s="20">
        <f t="shared" si="22"/>
        <v>0</v>
      </c>
      <c r="H56" s="20">
        <f t="shared" si="22"/>
        <v>0</v>
      </c>
      <c r="I56" s="20">
        <f t="shared" si="22"/>
        <v>0</v>
      </c>
      <c r="J56" s="20">
        <f t="shared" si="22"/>
        <v>0</v>
      </c>
      <c r="K56" s="20">
        <f t="shared" si="22"/>
        <v>0</v>
      </c>
      <c r="L56" s="20">
        <f t="shared" si="22"/>
        <v>0</v>
      </c>
      <c r="M56" s="20">
        <f t="shared" si="22"/>
        <v>0</v>
      </c>
      <c r="N56" s="20">
        <f t="shared" si="22"/>
        <v>0</v>
      </c>
      <c r="O56" s="20">
        <f t="shared" si="22"/>
        <v>0</v>
      </c>
      <c r="P56" s="20">
        <f t="shared" si="22"/>
        <v>0</v>
      </c>
      <c r="Q56" s="20">
        <f t="shared" si="22"/>
        <v>0</v>
      </c>
      <c r="R56" s="20">
        <f t="shared" si="22"/>
        <v>0</v>
      </c>
      <c r="S56" s="8"/>
      <c r="T56" s="8"/>
      <c r="U56" s="8"/>
      <c r="V56" s="8"/>
    </row>
    <row r="57" spans="1:22" ht="20.25" customHeight="1">
      <c r="A57" s="79"/>
      <c r="B57" s="80"/>
      <c r="C57" s="15" t="s">
        <v>25</v>
      </c>
      <c r="D57" s="20">
        <f aca="true" t="shared" si="23" ref="D57:R57">IF((D56+D31)&gt;0,IF(D25&gt;(D31-D56),(D31-D56),D25),0)</f>
        <v>731730</v>
      </c>
      <c r="E57" s="20">
        <f t="shared" si="23"/>
        <v>3084466</v>
      </c>
      <c r="F57" s="20">
        <f t="shared" si="23"/>
        <v>1297497</v>
      </c>
      <c r="G57" s="20">
        <f t="shared" si="23"/>
        <v>300000</v>
      </c>
      <c r="H57" s="20">
        <f t="shared" si="23"/>
        <v>500000</v>
      </c>
      <c r="I57" s="20">
        <f t="shared" si="23"/>
        <v>200000</v>
      </c>
      <c r="J57" s="20">
        <f t="shared" si="23"/>
        <v>0</v>
      </c>
      <c r="K57" s="20">
        <f t="shared" si="23"/>
        <v>0</v>
      </c>
      <c r="L57" s="20">
        <f t="shared" si="23"/>
        <v>0</v>
      </c>
      <c r="M57" s="20">
        <f t="shared" si="23"/>
        <v>0</v>
      </c>
      <c r="N57" s="20">
        <f t="shared" si="23"/>
        <v>0</v>
      </c>
      <c r="O57" s="20">
        <f t="shared" si="23"/>
        <v>0</v>
      </c>
      <c r="P57" s="20">
        <f t="shared" si="23"/>
        <v>0</v>
      </c>
      <c r="Q57" s="20">
        <f t="shared" si="23"/>
        <v>0</v>
      </c>
      <c r="R57" s="20">
        <f t="shared" si="23"/>
        <v>0</v>
      </c>
      <c r="S57" s="8"/>
      <c r="T57" s="8"/>
      <c r="U57" s="8"/>
      <c r="V57" s="8"/>
    </row>
    <row r="58" spans="1:22" ht="20.25" customHeight="1">
      <c r="A58" s="79"/>
      <c r="B58" s="80"/>
      <c r="C58" s="15" t="s">
        <v>26</v>
      </c>
      <c r="D58" s="20">
        <f aca="true" t="shared" si="24" ref="D58:R58">IF((D56+D31+D57)&gt;0,IF(D26&gt;(D31-D56-D57),(D31-D56-D57),D26),0)</f>
        <v>0</v>
      </c>
      <c r="E58" s="20">
        <f t="shared" si="24"/>
        <v>0</v>
      </c>
      <c r="F58" s="20">
        <f t="shared" si="24"/>
        <v>0</v>
      </c>
      <c r="G58" s="20">
        <f t="shared" si="24"/>
        <v>0</v>
      </c>
      <c r="H58" s="20">
        <f t="shared" si="24"/>
        <v>0</v>
      </c>
      <c r="I58" s="20">
        <f t="shared" si="24"/>
        <v>0</v>
      </c>
      <c r="J58" s="20">
        <f t="shared" si="24"/>
        <v>0</v>
      </c>
      <c r="K58" s="20">
        <f t="shared" si="24"/>
        <v>0</v>
      </c>
      <c r="L58" s="20">
        <f t="shared" si="24"/>
        <v>0</v>
      </c>
      <c r="M58" s="20">
        <f t="shared" si="24"/>
        <v>0</v>
      </c>
      <c r="N58" s="20">
        <f t="shared" si="24"/>
        <v>0</v>
      </c>
      <c r="O58" s="20">
        <f t="shared" si="24"/>
        <v>0</v>
      </c>
      <c r="P58" s="20">
        <f t="shared" si="24"/>
        <v>0</v>
      </c>
      <c r="Q58" s="20">
        <f t="shared" si="24"/>
        <v>0</v>
      </c>
      <c r="R58" s="20">
        <f t="shared" si="24"/>
        <v>0</v>
      </c>
      <c r="S58" s="8"/>
      <c r="T58" s="8"/>
      <c r="U58" s="8"/>
      <c r="V58" s="8"/>
    </row>
    <row r="59" spans="1:22" ht="20.25" customHeight="1">
      <c r="A59" s="79"/>
      <c r="B59" s="80"/>
      <c r="C59" s="15" t="s">
        <v>27</v>
      </c>
      <c r="D59" s="20">
        <f aca="true" t="shared" si="25" ref="D59:R59">IF((D56+D31+D57+D58)&gt;0,IF(D27&gt;(D31-D56-D57-D58),(D31-D56-D57-D58),D27),0)</f>
        <v>0</v>
      </c>
      <c r="E59" s="20">
        <f t="shared" si="25"/>
        <v>0</v>
      </c>
      <c r="F59" s="20">
        <f t="shared" si="25"/>
        <v>0</v>
      </c>
      <c r="G59" s="20">
        <f t="shared" si="25"/>
        <v>0</v>
      </c>
      <c r="H59" s="20">
        <f t="shared" si="25"/>
        <v>0</v>
      </c>
      <c r="I59" s="20">
        <f t="shared" si="25"/>
        <v>0</v>
      </c>
      <c r="J59" s="20">
        <f t="shared" si="25"/>
        <v>0</v>
      </c>
      <c r="K59" s="20">
        <f t="shared" si="25"/>
        <v>0</v>
      </c>
      <c r="L59" s="20">
        <f t="shared" si="25"/>
        <v>0</v>
      </c>
      <c r="M59" s="20">
        <f t="shared" si="25"/>
        <v>0</v>
      </c>
      <c r="N59" s="20">
        <f t="shared" si="25"/>
        <v>0</v>
      </c>
      <c r="O59" s="20">
        <f t="shared" si="25"/>
        <v>0</v>
      </c>
      <c r="P59" s="20">
        <f t="shared" si="25"/>
        <v>0</v>
      </c>
      <c r="Q59" s="20">
        <f t="shared" si="25"/>
        <v>0</v>
      </c>
      <c r="R59" s="20">
        <f t="shared" si="25"/>
        <v>0</v>
      </c>
      <c r="S59" s="8"/>
      <c r="T59" s="8"/>
      <c r="U59" s="8"/>
      <c r="V59" s="8"/>
    </row>
    <row r="60" spans="1:22" ht="33.75" customHeight="1">
      <c r="A60" s="79"/>
      <c r="B60" s="80"/>
      <c r="C60" s="15" t="s">
        <v>29</v>
      </c>
      <c r="D60" s="20">
        <f aca="true" t="shared" si="26" ref="D60:R60">IF((D56+D31+D57+D58+D59)&gt;0,IF(D28&gt;(D31-D56-D57-D58-D59),(D31-D56-D57-D58-D59),D28),0)</f>
        <v>0</v>
      </c>
      <c r="E60" s="20">
        <f t="shared" si="26"/>
        <v>0</v>
      </c>
      <c r="F60" s="20">
        <f t="shared" si="26"/>
        <v>0</v>
      </c>
      <c r="G60" s="20">
        <f t="shared" si="26"/>
        <v>0</v>
      </c>
      <c r="H60" s="20">
        <f t="shared" si="26"/>
        <v>0</v>
      </c>
      <c r="I60" s="20">
        <f t="shared" si="26"/>
        <v>0</v>
      </c>
      <c r="J60" s="20">
        <f t="shared" si="26"/>
        <v>0</v>
      </c>
      <c r="K60" s="20">
        <f t="shared" si="26"/>
        <v>0</v>
      </c>
      <c r="L60" s="20">
        <f t="shared" si="26"/>
        <v>0</v>
      </c>
      <c r="M60" s="20">
        <f t="shared" si="26"/>
        <v>0</v>
      </c>
      <c r="N60" s="20">
        <f t="shared" si="26"/>
        <v>0</v>
      </c>
      <c r="O60" s="20">
        <f t="shared" si="26"/>
        <v>0</v>
      </c>
      <c r="P60" s="20">
        <f t="shared" si="26"/>
        <v>0</v>
      </c>
      <c r="Q60" s="20">
        <f t="shared" si="26"/>
        <v>0</v>
      </c>
      <c r="R60" s="20">
        <f t="shared" si="26"/>
        <v>0</v>
      </c>
      <c r="S60" s="8"/>
      <c r="T60" s="8"/>
      <c r="U60" s="8"/>
      <c r="V60" s="8"/>
    </row>
    <row r="61" spans="1:22" ht="20.25" customHeight="1">
      <c r="A61" s="79"/>
      <c r="B61" s="80"/>
      <c r="C61" s="15" t="s">
        <v>31</v>
      </c>
      <c r="D61" s="20">
        <f aca="true" t="shared" si="27" ref="D61:R61">IF((D56+D31+D57+D58+D59+D60)&gt;0,IF(D29&gt;(D31-D56-D57-D58-D59-D60),(D31-D56-D57-D58-D59-D60),D29),0)</f>
        <v>0</v>
      </c>
      <c r="E61" s="20">
        <f t="shared" si="27"/>
        <v>308304</v>
      </c>
      <c r="F61" s="20">
        <f t="shared" si="27"/>
        <v>0</v>
      </c>
      <c r="G61" s="20">
        <f t="shared" si="27"/>
        <v>0</v>
      </c>
      <c r="H61" s="20">
        <f t="shared" si="27"/>
        <v>0</v>
      </c>
      <c r="I61" s="20">
        <f t="shared" si="27"/>
        <v>0</v>
      </c>
      <c r="J61" s="20">
        <f t="shared" si="27"/>
        <v>0</v>
      </c>
      <c r="K61" s="20">
        <f t="shared" si="27"/>
        <v>0</v>
      </c>
      <c r="L61" s="20">
        <f t="shared" si="27"/>
        <v>0</v>
      </c>
      <c r="M61" s="20">
        <f t="shared" si="27"/>
        <v>0</v>
      </c>
      <c r="N61" s="20">
        <f t="shared" si="27"/>
        <v>0</v>
      </c>
      <c r="O61" s="20">
        <f t="shared" si="27"/>
        <v>0</v>
      </c>
      <c r="P61" s="20">
        <f t="shared" si="27"/>
        <v>0</v>
      </c>
      <c r="Q61" s="20">
        <f t="shared" si="27"/>
        <v>0</v>
      </c>
      <c r="R61" s="20">
        <f t="shared" si="27"/>
        <v>0</v>
      </c>
      <c r="S61" s="8"/>
      <c r="T61" s="8"/>
      <c r="U61" s="8"/>
      <c r="V61" s="8"/>
    </row>
    <row r="62" spans="1:22" ht="20.25" customHeight="1">
      <c r="A62" s="79"/>
      <c r="B62" s="80"/>
      <c r="C62" s="15" t="s">
        <v>59</v>
      </c>
      <c r="D62" s="20">
        <f aca="true" t="shared" si="28" ref="D62:R62">IF((D56+D57+D31+D58+D59+D60+D61)&gt;0,IF(D44&gt;(D31-D56-D57-D58-D59-D60-D61),(D31-D57-D56-D58-D59-D60-D61),D44),0)</f>
        <v>0</v>
      </c>
      <c r="E62" s="20">
        <f t="shared" si="28"/>
        <v>0</v>
      </c>
      <c r="F62" s="20">
        <f t="shared" si="28"/>
        <v>944303</v>
      </c>
      <c r="G62" s="20">
        <f t="shared" si="28"/>
        <v>1827672</v>
      </c>
      <c r="H62" s="20">
        <f t="shared" si="28"/>
        <v>1315730</v>
      </c>
      <c r="I62" s="20">
        <f t="shared" si="28"/>
        <v>1362679</v>
      </c>
      <c r="J62" s="20">
        <f t="shared" si="28"/>
        <v>1000000</v>
      </c>
      <c r="K62" s="20">
        <f t="shared" si="28"/>
        <v>1450000</v>
      </c>
      <c r="L62" s="20">
        <f t="shared" si="28"/>
        <v>1500000</v>
      </c>
      <c r="M62" s="20">
        <f t="shared" si="28"/>
        <v>1490722</v>
      </c>
      <c r="N62" s="20">
        <f t="shared" si="28"/>
        <v>1233459</v>
      </c>
      <c r="O62" s="20">
        <f t="shared" si="28"/>
        <v>462276</v>
      </c>
      <c r="P62" s="20">
        <f t="shared" si="28"/>
        <v>235247</v>
      </c>
      <c r="Q62" s="20">
        <f t="shared" si="28"/>
        <v>0</v>
      </c>
      <c r="R62" s="20">
        <f t="shared" si="28"/>
        <v>0</v>
      </c>
      <c r="S62" s="8"/>
      <c r="T62" s="8"/>
      <c r="U62" s="8"/>
      <c r="V62" s="8"/>
    </row>
    <row r="63" spans="1:22" ht="12.75">
      <c r="A63" s="27"/>
      <c r="B63" s="27"/>
      <c r="C63" s="27" t="s">
        <v>60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8"/>
      <c r="T63" s="8"/>
      <c r="U63" s="8"/>
      <c r="V63" s="8"/>
    </row>
    <row r="64" spans="1:22" ht="12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8"/>
      <c r="T64" s="8"/>
      <c r="U64" s="8"/>
      <c r="V64" s="8"/>
    </row>
    <row r="65" spans="1:2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8"/>
      <c r="T65" s="8"/>
      <c r="U65" s="8"/>
      <c r="V65" s="8"/>
    </row>
    <row r="66" spans="1:22" ht="13.5">
      <c r="A66" s="81" t="s">
        <v>61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"/>
      <c r="T66" s="8"/>
      <c r="U66" s="8"/>
      <c r="V66" s="8"/>
    </row>
    <row r="67" spans="1:22" ht="52.5" customHeight="1">
      <c r="A67" s="11" t="s">
        <v>62</v>
      </c>
      <c r="B67" s="77" t="s">
        <v>63</v>
      </c>
      <c r="C67" s="77"/>
      <c r="D67" s="26">
        <f aca="true" t="shared" si="29" ref="D67:R67">(D8+D10-D12)/D7</f>
        <v>0.03431116402370723</v>
      </c>
      <c r="E67" s="26">
        <f t="shared" si="29"/>
        <v>0.041923069574972056</v>
      </c>
      <c r="F67" s="26">
        <f t="shared" si="29"/>
        <v>0.08860415786287112</v>
      </c>
      <c r="G67" s="26">
        <f t="shared" si="29"/>
        <v>0.10329386298792782</v>
      </c>
      <c r="H67" s="26">
        <f t="shared" si="29"/>
        <v>0.1079145971788928</v>
      </c>
      <c r="I67" s="26">
        <f t="shared" si="29"/>
        <v>0.12495148405038156</v>
      </c>
      <c r="J67" s="26">
        <f t="shared" si="29"/>
        <v>0.11208348547462646</v>
      </c>
      <c r="K67" s="26">
        <f t="shared" si="29"/>
        <v>0.11208029206407032</v>
      </c>
      <c r="L67" s="26">
        <f t="shared" si="29"/>
        <v>0.11207579237507856</v>
      </c>
      <c r="M67" s="26">
        <f t="shared" si="29"/>
        <v>0.10767717082910074</v>
      </c>
      <c r="N67" s="26">
        <f t="shared" si="29"/>
        <v>0.09000446383686986</v>
      </c>
      <c r="O67" s="26">
        <f t="shared" si="29"/>
        <v>0.08549657994189115</v>
      </c>
      <c r="P67" s="26">
        <f t="shared" si="29"/>
        <v>0.08096635472574722</v>
      </c>
      <c r="Q67" s="26">
        <f t="shared" si="29"/>
        <v>0.07641372354603013</v>
      </c>
      <c r="R67" s="26">
        <f t="shared" si="29"/>
        <v>0.07183857387236652</v>
      </c>
      <c r="S67" s="8"/>
      <c r="T67" s="8"/>
      <c r="U67" s="8"/>
      <c r="V67" s="8"/>
    </row>
    <row r="68" spans="1:22" ht="27" customHeight="1">
      <c r="A68" s="11" t="s">
        <v>64</v>
      </c>
      <c r="B68" s="77" t="s">
        <v>65</v>
      </c>
      <c r="C68" s="77"/>
      <c r="D68" s="28">
        <f aca="true" t="shared" si="30" ref="D68:R68">D7+D22-D11-D30</f>
        <v>0</v>
      </c>
      <c r="E68" s="28">
        <f t="shared" si="30"/>
        <v>0</v>
      </c>
      <c r="F68" s="28">
        <f t="shared" si="30"/>
        <v>0</v>
      </c>
      <c r="G68" s="28">
        <f t="shared" si="30"/>
        <v>-0.4500000001862645</v>
      </c>
      <c r="H68" s="28">
        <f t="shared" si="30"/>
        <v>0</v>
      </c>
      <c r="I68" s="28">
        <f t="shared" si="30"/>
        <v>0</v>
      </c>
      <c r="J68" s="28">
        <f t="shared" si="30"/>
        <v>0</v>
      </c>
      <c r="K68" s="28">
        <f t="shared" si="30"/>
        <v>0</v>
      </c>
      <c r="L68" s="28">
        <f t="shared" si="30"/>
        <v>0</v>
      </c>
      <c r="M68" s="28">
        <f t="shared" si="30"/>
        <v>0</v>
      </c>
      <c r="N68" s="28">
        <f t="shared" si="30"/>
        <v>0</v>
      </c>
      <c r="O68" s="28">
        <f t="shared" si="30"/>
        <v>0</v>
      </c>
      <c r="P68" s="28">
        <f t="shared" si="30"/>
        <v>0</v>
      </c>
      <c r="Q68" s="28">
        <f t="shared" si="30"/>
        <v>0</v>
      </c>
      <c r="R68" s="28">
        <f t="shared" si="30"/>
        <v>0</v>
      </c>
      <c r="S68" s="8"/>
      <c r="T68" s="8"/>
      <c r="U68" s="8"/>
      <c r="V68" s="8"/>
    </row>
    <row r="69" spans="1:22" ht="52.5" customHeight="1">
      <c r="A69" s="11" t="s">
        <v>66</v>
      </c>
      <c r="B69" s="77" t="s">
        <v>67</v>
      </c>
      <c r="C69" s="77"/>
      <c r="D69" s="29">
        <f aca="true" t="shared" si="31" ref="D69:R69">D8+D28+D29-D12</f>
        <v>2260497</v>
      </c>
      <c r="E69" s="29">
        <f t="shared" si="31"/>
        <v>2055995</v>
      </c>
      <c r="F69" s="29">
        <f t="shared" si="31"/>
        <v>2644253</v>
      </c>
      <c r="G69" s="29">
        <f t="shared" si="31"/>
        <v>3117253</v>
      </c>
      <c r="H69" s="29">
        <f t="shared" si="31"/>
        <v>3341777</v>
      </c>
      <c r="I69" s="29">
        <f t="shared" si="31"/>
        <v>3986033</v>
      </c>
      <c r="J69" s="29">
        <f t="shared" si="31"/>
        <v>3575433</v>
      </c>
      <c r="K69" s="29">
        <f t="shared" si="31"/>
        <v>3629064</v>
      </c>
      <c r="L69" s="29">
        <f t="shared" si="31"/>
        <v>3683500</v>
      </c>
      <c r="M69" s="29">
        <f t="shared" si="31"/>
        <v>3573981</v>
      </c>
      <c r="N69" s="29">
        <f t="shared" si="31"/>
        <v>3015522</v>
      </c>
      <c r="O69" s="29">
        <f t="shared" si="31"/>
        <v>2892672</v>
      </c>
      <c r="P69" s="29">
        <f t="shared" si="31"/>
        <v>2766297</v>
      </c>
      <c r="Q69" s="29">
        <f t="shared" si="31"/>
        <v>2636329</v>
      </c>
      <c r="R69" s="29">
        <f t="shared" si="31"/>
        <v>2502697</v>
      </c>
      <c r="S69" s="8"/>
      <c r="T69" s="8"/>
      <c r="U69" s="8"/>
      <c r="V69" s="8"/>
    </row>
    <row r="70" spans="1:22" ht="27" customHeight="1">
      <c r="A70" s="11" t="s">
        <v>68</v>
      </c>
      <c r="B70" s="77" t="s">
        <v>69</v>
      </c>
      <c r="C70" s="77"/>
      <c r="D70" s="30"/>
      <c r="E70" s="30">
        <v>0</v>
      </c>
      <c r="F70" s="30"/>
      <c r="G70" s="30"/>
      <c r="H70" s="31" t="s">
        <v>20</v>
      </c>
      <c r="I70" s="31" t="s">
        <v>20</v>
      </c>
      <c r="J70" s="31" t="s">
        <v>20</v>
      </c>
      <c r="K70" s="31" t="s">
        <v>20</v>
      </c>
      <c r="L70" s="31" t="s">
        <v>20</v>
      </c>
      <c r="M70" s="31" t="s">
        <v>20</v>
      </c>
      <c r="N70" s="31" t="s">
        <v>20</v>
      </c>
      <c r="O70" s="31" t="s">
        <v>20</v>
      </c>
      <c r="P70" s="31" t="s">
        <v>20</v>
      </c>
      <c r="Q70" s="31" t="s">
        <v>20</v>
      </c>
      <c r="R70" s="31" t="s">
        <v>20</v>
      </c>
      <c r="S70" s="8"/>
      <c r="T70" s="8"/>
      <c r="U70" s="8"/>
      <c r="V70" s="8"/>
    </row>
    <row r="71" spans="1:22" ht="27" customHeight="1">
      <c r="A71" s="11" t="s">
        <v>70</v>
      </c>
      <c r="B71" s="77" t="s">
        <v>71</v>
      </c>
      <c r="C71" s="77"/>
      <c r="D71" s="30"/>
      <c r="E71" s="30">
        <v>1320580</v>
      </c>
      <c r="F71" s="30"/>
      <c r="G71" s="30"/>
      <c r="H71" s="30"/>
      <c r="I71" s="30"/>
      <c r="J71" s="32"/>
      <c r="K71" s="32"/>
      <c r="L71" s="32"/>
      <c r="M71" s="32"/>
      <c r="N71" s="32"/>
      <c r="O71" s="32"/>
      <c r="P71" s="32"/>
      <c r="Q71" s="32"/>
      <c r="R71" s="32"/>
      <c r="S71" s="8"/>
      <c r="T71" s="8"/>
      <c r="U71" s="8"/>
      <c r="V71" s="8"/>
    </row>
    <row r="72" spans="1:22" ht="27" customHeight="1">
      <c r="A72" s="11" t="s">
        <v>72</v>
      </c>
      <c r="B72" s="77" t="s">
        <v>73</v>
      </c>
      <c r="C72" s="77"/>
      <c r="D72" s="30"/>
      <c r="E72" s="30"/>
      <c r="F72" s="30"/>
      <c r="G72" s="30"/>
      <c r="H72" s="30"/>
      <c r="I72" s="30"/>
      <c r="J72" s="32"/>
      <c r="K72" s="32"/>
      <c r="L72" s="32"/>
      <c r="M72" s="32"/>
      <c r="N72" s="32"/>
      <c r="O72" s="32"/>
      <c r="P72" s="32"/>
      <c r="Q72" s="32"/>
      <c r="R72" s="32"/>
      <c r="S72" s="8"/>
      <c r="T72" s="8"/>
      <c r="U72" s="8"/>
      <c r="V72" s="8"/>
    </row>
    <row r="73" spans="1:22" ht="27" customHeight="1">
      <c r="A73" s="11" t="s">
        <v>74</v>
      </c>
      <c r="B73" s="77" t="s">
        <v>75</v>
      </c>
      <c r="C73" s="77"/>
      <c r="D73" s="30">
        <v>1625000</v>
      </c>
      <c r="E73" s="30">
        <v>0</v>
      </c>
      <c r="F73" s="30"/>
      <c r="G73" s="30"/>
      <c r="H73" s="30"/>
      <c r="I73" s="30"/>
      <c r="J73" s="32"/>
      <c r="K73" s="32"/>
      <c r="L73" s="32"/>
      <c r="M73" s="32"/>
      <c r="N73" s="32"/>
      <c r="O73" s="32"/>
      <c r="P73" s="32"/>
      <c r="Q73" s="32"/>
      <c r="R73" s="32"/>
      <c r="S73" s="8"/>
      <c r="T73" s="8"/>
      <c r="U73" s="8"/>
      <c r="V73" s="8"/>
    </row>
    <row r="74" spans="1:22" ht="39.75" customHeight="1">
      <c r="A74" s="11" t="s">
        <v>76</v>
      </c>
      <c r="B74" s="77" t="s">
        <v>77</v>
      </c>
      <c r="C74" s="77"/>
      <c r="D74" s="25">
        <f>((D13-D70)+(D31-D71)+D14+D19-D72)/D7</f>
        <v>0.08388718923168163</v>
      </c>
      <c r="E74" s="25">
        <f>((E13-E70)+(E31-E71)+E14+E19-E72)/E7</f>
        <v>0.094129565319003</v>
      </c>
      <c r="F74" s="25">
        <f>((F13-F70)+(F31-F71)+F14+F19-F72)/F7</f>
        <v>0.10101573615409085</v>
      </c>
      <c r="G74" s="25">
        <f>((G13-G70)+(G31-G71)+G14+G19-G72)/G7</f>
        <v>0.09437710499544795</v>
      </c>
      <c r="H74" s="25" t="s">
        <v>20</v>
      </c>
      <c r="I74" s="25" t="s">
        <v>20</v>
      </c>
      <c r="J74" s="25" t="s">
        <v>20</v>
      </c>
      <c r="K74" s="25" t="s">
        <v>20</v>
      </c>
      <c r="L74" s="25" t="s">
        <v>20</v>
      </c>
      <c r="M74" s="25" t="s">
        <v>20</v>
      </c>
      <c r="N74" s="25" t="s">
        <v>20</v>
      </c>
      <c r="O74" s="25" t="s">
        <v>20</v>
      </c>
      <c r="P74" s="25" t="s">
        <v>20</v>
      </c>
      <c r="Q74" s="25" t="s">
        <v>20</v>
      </c>
      <c r="R74" s="25" t="s">
        <v>20</v>
      </c>
      <c r="S74" s="8"/>
      <c r="T74" s="8"/>
      <c r="U74" s="8"/>
      <c r="V74" s="8"/>
    </row>
    <row r="75" spans="1:22" ht="39.75" customHeight="1">
      <c r="A75" s="11" t="s">
        <v>78</v>
      </c>
      <c r="B75" s="77" t="s">
        <v>79</v>
      </c>
      <c r="C75" s="77"/>
      <c r="D75" s="25">
        <f>(D48-D73)/D7</f>
        <v>0.3209662011648291</v>
      </c>
      <c r="E75" s="25">
        <f>(E48-E73)/E7</f>
        <v>0.41309767747074094</v>
      </c>
      <c r="F75" s="25">
        <f>(F48-F73)/F7</f>
        <v>0.39650370074037505</v>
      </c>
      <c r="G75" s="25">
        <f>(G48-G73)/G7</f>
        <v>0.3319574555537892</v>
      </c>
      <c r="H75" s="25" t="s">
        <v>20</v>
      </c>
      <c r="I75" s="25" t="s">
        <v>20</v>
      </c>
      <c r="J75" s="25" t="s">
        <v>20</v>
      </c>
      <c r="K75" s="25" t="s">
        <v>20</v>
      </c>
      <c r="L75" s="25" t="s">
        <v>20</v>
      </c>
      <c r="M75" s="25" t="s">
        <v>20</v>
      </c>
      <c r="N75" s="25" t="s">
        <v>20</v>
      </c>
      <c r="O75" s="25" t="s">
        <v>20</v>
      </c>
      <c r="P75" s="25" t="s">
        <v>20</v>
      </c>
      <c r="Q75" s="25" t="s">
        <v>20</v>
      </c>
      <c r="R75" s="25" t="s">
        <v>20</v>
      </c>
      <c r="S75" s="8"/>
      <c r="T75" s="8"/>
      <c r="U75" s="8"/>
      <c r="V75" s="8"/>
    </row>
    <row r="76" spans="1:22" ht="13.5" customHeight="1">
      <c r="A76" s="11" t="s">
        <v>80</v>
      </c>
      <c r="B76" s="77" t="s">
        <v>81</v>
      </c>
      <c r="C76" s="77"/>
      <c r="D76" s="26" t="s">
        <v>20</v>
      </c>
      <c r="E76" s="26">
        <f aca="true" t="shared" si="32" ref="E76:R76">(E31-E71+E13+E14+E19-E72)/E7</f>
        <v>0.094129565319003</v>
      </c>
      <c r="F76" s="26">
        <f t="shared" si="32"/>
        <v>0.10101573615409085</v>
      </c>
      <c r="G76" s="26">
        <f t="shared" si="32"/>
        <v>0.09437710499544795</v>
      </c>
      <c r="H76" s="26">
        <f t="shared" si="32"/>
        <v>0.07744488977407626</v>
      </c>
      <c r="I76" s="26">
        <f t="shared" si="32"/>
        <v>0.06301405962210077</v>
      </c>
      <c r="J76" s="26">
        <f t="shared" si="32"/>
        <v>0.05785414086619096</v>
      </c>
      <c r="K76" s="26">
        <f t="shared" si="32"/>
        <v>0.0554029885561357</v>
      </c>
      <c r="L76" s="26">
        <f t="shared" si="32"/>
        <v>0.05452847598459948</v>
      </c>
      <c r="M76" s="26">
        <f t="shared" si="32"/>
        <v>0.04927806071160686</v>
      </c>
      <c r="N76" s="26">
        <f t="shared" si="32"/>
        <v>0.03935583958389939</v>
      </c>
      <c r="O76" s="26">
        <f t="shared" si="32"/>
        <v>0.01508282738622141</v>
      </c>
      <c r="P76" s="26">
        <f t="shared" si="32"/>
        <v>0.006857769761283602</v>
      </c>
      <c r="Q76" s="26">
        <f t="shared" si="32"/>
        <v>0</v>
      </c>
      <c r="R76" s="26">
        <f t="shared" si="32"/>
        <v>0</v>
      </c>
      <c r="S76" s="8"/>
      <c r="T76" s="8"/>
      <c r="U76" s="8"/>
      <c r="V76" s="8"/>
    </row>
    <row r="77" spans="1:22" ht="63.75" customHeight="1">
      <c r="A77" s="11" t="s">
        <v>82</v>
      </c>
      <c r="B77" s="77" t="s">
        <v>83</v>
      </c>
      <c r="C77" s="77"/>
      <c r="D77" s="26" t="s">
        <v>20</v>
      </c>
      <c r="E77" s="26">
        <f aca="true" t="shared" si="33" ref="E77:R77">E54-E76</f>
        <v>-0.006254602438994561</v>
      </c>
      <c r="F77" s="26">
        <f t="shared" si="33"/>
        <v>-0.031689109318941144</v>
      </c>
      <c r="G77" s="26">
        <f t="shared" si="33"/>
        <v>-0.03943097450826448</v>
      </c>
      <c r="H77" s="26">
        <f t="shared" si="33"/>
        <v>0.0004954737011807347</v>
      </c>
      <c r="I77" s="26">
        <f t="shared" si="33"/>
        <v>0.036923479721129804</v>
      </c>
      <c r="J77" s="26">
        <f t="shared" si="33"/>
        <v>0.054199173872876434</v>
      </c>
      <c r="K77" s="26">
        <f t="shared" si="33"/>
        <v>0.059580200345164584</v>
      </c>
      <c r="L77" s="26">
        <f t="shared" si="33"/>
        <v>0.06184327787842664</v>
      </c>
      <c r="M77" s="26">
        <f t="shared" si="33"/>
        <v>0.06280179592631827</v>
      </c>
      <c r="N77" s="26">
        <f t="shared" si="33"/>
        <v>0.07125524550551714</v>
      </c>
      <c r="O77" s="26">
        <f t="shared" si="33"/>
        <v>0.08816964829412831</v>
      </c>
      <c r="P77" s="26">
        <f t="shared" si="33"/>
        <v>0.08753496844133697</v>
      </c>
      <c r="Q77" s="26">
        <f t="shared" si="33"/>
        <v>0.08548913283483607</v>
      </c>
      <c r="R77" s="26">
        <f t="shared" si="33"/>
        <v>0.08095888607122283</v>
      </c>
      <c r="S77" s="8"/>
      <c r="T77" s="8"/>
      <c r="U77" s="8"/>
      <c r="V77" s="8"/>
    </row>
    <row r="78" spans="1:22" ht="27.75" customHeight="1">
      <c r="A78" s="33" t="s">
        <v>84</v>
      </c>
      <c r="B78" s="78" t="s">
        <v>85</v>
      </c>
      <c r="C78" s="78"/>
      <c r="D78" s="34" t="s">
        <v>20</v>
      </c>
      <c r="E78" s="34" t="s">
        <v>20</v>
      </c>
      <c r="F78" s="34" t="s">
        <v>20</v>
      </c>
      <c r="G78" s="34" t="s">
        <v>20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8"/>
      <c r="T78" s="8"/>
      <c r="U78" s="8"/>
      <c r="V78" s="8"/>
    </row>
    <row r="79" spans="13:22" ht="12.75"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3:22" ht="12.75"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3:22" ht="12.75"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3:22" ht="12.75"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3:22" ht="12.75"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3:22" ht="12.75"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3:22" ht="12.75"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3:22" ht="12.75"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3:22" ht="12.75"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3:22" ht="12.75"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3:22" ht="12.75"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3:22" ht="12.75"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3:22" ht="12.75"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3:22" ht="12.75"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3:22" ht="12.75"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3:22" ht="12.75"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3:22" ht="12.75">
      <c r="M95" s="8"/>
      <c r="N95" s="8"/>
      <c r="O95" s="8"/>
      <c r="P95" s="8"/>
      <c r="Q95" s="8"/>
      <c r="R95" s="8"/>
      <c r="S95" s="8"/>
      <c r="T95" s="8"/>
      <c r="U95" s="8"/>
      <c r="V95" s="8"/>
    </row>
  </sheetData>
  <sheetProtection selectLockedCells="1" selectUnlockedCells="1"/>
  <mergeCells count="50">
    <mergeCell ref="B7:C7"/>
    <mergeCell ref="B11:C11"/>
    <mergeCell ref="B13:B19"/>
    <mergeCell ref="C17:C19"/>
    <mergeCell ref="A3:R3"/>
    <mergeCell ref="A4:B4"/>
    <mergeCell ref="B6:C6"/>
    <mergeCell ref="R17:R19"/>
    <mergeCell ref="B22:C22"/>
    <mergeCell ref="L17:L19"/>
    <mergeCell ref="M17:M19"/>
    <mergeCell ref="N17:N19"/>
    <mergeCell ref="O17:O19"/>
    <mergeCell ref="H17:H19"/>
    <mergeCell ref="I17:I19"/>
    <mergeCell ref="J17:J19"/>
    <mergeCell ref="K17:K19"/>
    <mergeCell ref="B24:B26"/>
    <mergeCell ref="B30:C30"/>
    <mergeCell ref="B32:B34"/>
    <mergeCell ref="B36:C36"/>
    <mergeCell ref="P17:P19"/>
    <mergeCell ref="Q17:Q19"/>
    <mergeCell ref="D17:D19"/>
    <mergeCell ref="E17:E19"/>
    <mergeCell ref="F17:F19"/>
    <mergeCell ref="G17:G19"/>
    <mergeCell ref="B52:C52"/>
    <mergeCell ref="B53:C53"/>
    <mergeCell ref="B54:C54"/>
    <mergeCell ref="B55:C55"/>
    <mergeCell ref="B37:C37"/>
    <mergeCell ref="B44:C44"/>
    <mergeCell ref="B48:C48"/>
    <mergeCell ref="B51:C51"/>
    <mergeCell ref="B68:C68"/>
    <mergeCell ref="B69:C69"/>
    <mergeCell ref="B70:C70"/>
    <mergeCell ref="B71:C71"/>
    <mergeCell ref="A56:A62"/>
    <mergeCell ref="B56:B62"/>
    <mergeCell ref="A66:R66"/>
    <mergeCell ref="B67:C67"/>
    <mergeCell ref="B76:C76"/>
    <mergeCell ref="B77:C77"/>
    <mergeCell ref="B78:C78"/>
    <mergeCell ref="B72:C72"/>
    <mergeCell ref="B73:C73"/>
    <mergeCell ref="B74:C74"/>
    <mergeCell ref="B75:C75"/>
  </mergeCells>
  <printOptions horizontalCentered="1"/>
  <pageMargins left="0.15763888888888888" right="0.15763888888888888" top="0.5513888888888889" bottom="0.6694444444444444" header="0.5118055555555555" footer="0.5118055555555555"/>
  <pageSetup horizontalDpi="300" verticalDpi="300" orientation="landscape" paperSize="9" scale="70" r:id="rId1"/>
  <rowBreaks count="2" manualBreakCount="2">
    <brk id="48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110" zoomScaleSheetLayoutView="110" zoomScalePageLayoutView="0" workbookViewId="0" topLeftCell="B1">
      <selection activeCell="B1" sqref="B1"/>
    </sheetView>
  </sheetViews>
  <sheetFormatPr defaultColWidth="9.00390625" defaultRowHeight="12.75"/>
  <cols>
    <col min="1" max="1" width="7.125" style="1" customWidth="1"/>
    <col min="2" max="2" width="25.25390625" style="1" customWidth="1"/>
    <col min="3" max="3" width="18.75390625" style="1" customWidth="1"/>
    <col min="4" max="4" width="23.125" style="1" customWidth="1"/>
    <col min="5" max="5" width="10.125" style="1" customWidth="1"/>
    <col min="6" max="16384" width="9.00390625" style="1" customWidth="1"/>
  </cols>
  <sheetData>
    <row r="1" spans="3:5" ht="12.75" customHeight="1">
      <c r="C1" s="90" t="s">
        <v>86</v>
      </c>
      <c r="D1" s="90"/>
      <c r="E1"/>
    </row>
    <row r="4" spans="2:4" s="36" customFormat="1" ht="30" customHeight="1">
      <c r="B4" s="37" t="s">
        <v>87</v>
      </c>
      <c r="C4" s="38"/>
      <c r="D4" s="39">
        <v>8114801</v>
      </c>
    </row>
    <row r="5" spans="2:4" ht="25.5" customHeight="1">
      <c r="B5" s="40"/>
      <c r="D5" s="41"/>
    </row>
    <row r="7" spans="1:5" ht="25.5" customHeight="1">
      <c r="A7" s="91" t="s">
        <v>88</v>
      </c>
      <c r="B7" s="91"/>
      <c r="C7" s="91"/>
      <c r="D7" s="91"/>
      <c r="E7" s="42"/>
    </row>
    <row r="8" spans="1:5" ht="24" customHeight="1">
      <c r="A8" s="42"/>
      <c r="B8" s="43"/>
      <c r="C8" s="42"/>
      <c r="D8" s="44"/>
      <c r="E8" s="42"/>
    </row>
    <row r="9" spans="1:5" ht="12.75">
      <c r="A9" s="42"/>
      <c r="B9" s="42"/>
      <c r="C9" s="42"/>
      <c r="D9" s="42"/>
      <c r="E9" s="42"/>
    </row>
    <row r="10" spans="1:5" s="47" customFormat="1" ht="30.75" customHeight="1">
      <c r="A10" s="45" t="s">
        <v>89</v>
      </c>
      <c r="B10" s="45" t="s">
        <v>3</v>
      </c>
      <c r="C10" s="45">
        <v>2008</v>
      </c>
      <c r="D10" s="45">
        <v>2009</v>
      </c>
      <c r="E10" s="46"/>
    </row>
    <row r="11" spans="1:5" ht="39" customHeight="1">
      <c r="A11" s="48" t="s">
        <v>7</v>
      </c>
      <c r="B11" s="49" t="s">
        <v>90</v>
      </c>
      <c r="C11" s="50">
        <v>25277015</v>
      </c>
      <c r="D11" s="50">
        <v>27429750</v>
      </c>
      <c r="E11" s="42"/>
    </row>
    <row r="12" spans="1:5" ht="39" customHeight="1">
      <c r="A12" s="48" t="s">
        <v>9</v>
      </c>
      <c r="B12" s="49" t="s">
        <v>91</v>
      </c>
      <c r="C12" s="50">
        <v>47435</v>
      </c>
      <c r="D12" s="50">
        <v>11287</v>
      </c>
      <c r="E12" s="42"/>
    </row>
    <row r="13" spans="1:5" ht="39" customHeight="1">
      <c r="A13" s="48" t="s">
        <v>28</v>
      </c>
      <c r="B13" s="49" t="s">
        <v>92</v>
      </c>
      <c r="C13" s="50">
        <v>22736695</v>
      </c>
      <c r="D13" s="50">
        <v>23656828</v>
      </c>
      <c r="E13" s="51"/>
    </row>
    <row r="14" spans="1:5" ht="39" customHeight="1">
      <c r="A14" s="48" t="s">
        <v>30</v>
      </c>
      <c r="B14" s="49" t="s">
        <v>93</v>
      </c>
      <c r="C14" s="50">
        <v>26522558</v>
      </c>
      <c r="D14" s="50">
        <v>28723598</v>
      </c>
      <c r="E14" s="51"/>
    </row>
    <row r="15" spans="1:5" ht="39" customHeight="1">
      <c r="A15" s="48" t="s">
        <v>94</v>
      </c>
      <c r="B15" s="52" t="s">
        <v>95</v>
      </c>
      <c r="C15" s="53">
        <f>(C11+C12-C13)/C14</f>
        <v>0.09756807770954823</v>
      </c>
      <c r="D15" s="53">
        <f>(D11+D12-D13)/D14</f>
        <v>0.13174564690676982</v>
      </c>
      <c r="E15" s="42"/>
    </row>
    <row r="16" spans="1:5" ht="12.75">
      <c r="A16" s="42"/>
      <c r="B16" s="42"/>
      <c r="C16" s="42"/>
      <c r="D16" s="42"/>
      <c r="E16" s="42"/>
    </row>
    <row r="17" spans="1:5" ht="12.75">
      <c r="A17" s="92" t="s">
        <v>96</v>
      </c>
      <c r="B17" s="92"/>
      <c r="C17" s="92"/>
      <c r="D17" s="92"/>
      <c r="E17" s="42"/>
    </row>
    <row r="18" spans="1:5" ht="23.25" customHeight="1">
      <c r="A18" s="42"/>
      <c r="B18" s="93" t="s">
        <v>97</v>
      </c>
      <c r="C18" s="93"/>
      <c r="D18" s="54">
        <v>450000</v>
      </c>
      <c r="E18" s="42"/>
    </row>
    <row r="19" spans="1:5" ht="23.25" customHeight="1">
      <c r="A19" s="42"/>
      <c r="B19" s="89" t="s">
        <v>98</v>
      </c>
      <c r="C19" s="89"/>
      <c r="D19" s="54">
        <v>709278</v>
      </c>
      <c r="E19" s="42"/>
    </row>
    <row r="20" spans="2:4" ht="23.25" customHeight="1">
      <c r="B20" s="89" t="s">
        <v>99</v>
      </c>
      <c r="C20" s="89"/>
      <c r="D20" s="55">
        <v>304420</v>
      </c>
    </row>
    <row r="21" spans="2:4" ht="23.25" customHeight="1">
      <c r="B21" s="89" t="s">
        <v>100</v>
      </c>
      <c r="C21" s="89"/>
      <c r="D21" s="55">
        <v>38000</v>
      </c>
    </row>
  </sheetData>
  <sheetProtection selectLockedCells="1" selectUnlockedCells="1"/>
  <mergeCells count="7">
    <mergeCell ref="B19:C19"/>
    <mergeCell ref="B20:C20"/>
    <mergeCell ref="B21:C21"/>
    <mergeCell ref="C1:D1"/>
    <mergeCell ref="A7:D7"/>
    <mergeCell ref="A17:D17"/>
    <mergeCell ref="B18:C1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="110" zoomScaleSheetLayoutView="110" zoomScalePageLayoutView="0" workbookViewId="0" topLeftCell="D1">
      <pane ySplit="5" topLeftCell="A26" activePane="bottomLeft" state="frozen"/>
      <selection pane="topLeft" activeCell="A1" sqref="A1"/>
      <selection pane="bottomLeft" activeCell="D51" sqref="D51"/>
    </sheetView>
  </sheetViews>
  <sheetFormatPr defaultColWidth="9.00390625" defaultRowHeight="12.75"/>
  <cols>
    <col min="1" max="1" width="4.625" style="56" customWidth="1"/>
    <col min="2" max="2" width="30.75390625" style="56" customWidth="1"/>
    <col min="3" max="3" width="24.25390625" style="56" customWidth="1"/>
    <col min="4" max="4" width="10.75390625" style="56" customWidth="1"/>
    <col min="5" max="5" width="12.25390625" style="56" customWidth="1"/>
    <col min="6" max="6" width="14.75390625" style="56" customWidth="1"/>
    <col min="7" max="11" width="10.125" style="56" customWidth="1"/>
    <col min="12" max="16384" width="9.125" style="56" customWidth="1"/>
  </cols>
  <sheetData>
    <row r="1" spans="1:20" ht="23.25" customHeight="1">
      <c r="A1" s="57"/>
      <c r="B1" s="57"/>
      <c r="C1" s="57"/>
      <c r="D1" s="57"/>
      <c r="E1" s="58"/>
      <c r="F1" s="58"/>
      <c r="G1" s="58"/>
      <c r="H1" s="58"/>
      <c r="I1" s="58"/>
      <c r="J1" s="58"/>
      <c r="K1" s="58"/>
      <c r="L1" s="57"/>
      <c r="M1" s="57"/>
      <c r="N1" s="57"/>
      <c r="O1" s="107" t="s">
        <v>155</v>
      </c>
      <c r="P1" s="107"/>
      <c r="Q1" s="107"/>
      <c r="R1" s="107"/>
      <c r="S1" s="107"/>
      <c r="T1" s="107"/>
    </row>
    <row r="2" spans="1:20" ht="23.25" customHeight="1">
      <c r="A2" s="57"/>
      <c r="B2" s="57"/>
      <c r="C2" s="57"/>
      <c r="D2" s="57"/>
      <c r="E2" s="58"/>
      <c r="F2" s="58"/>
      <c r="G2" s="58"/>
      <c r="H2" s="58"/>
      <c r="I2" s="58"/>
      <c r="J2" s="58"/>
      <c r="K2" s="58"/>
      <c r="L2" s="57"/>
      <c r="M2" s="57"/>
      <c r="N2" s="57"/>
      <c r="O2" s="59"/>
      <c r="P2" s="59"/>
      <c r="Q2" s="59"/>
      <c r="R2" s="59"/>
      <c r="S2" s="59"/>
      <c r="T2" s="59"/>
    </row>
    <row r="3" spans="1:20" ht="12.75" customHeight="1">
      <c r="A3" s="108" t="s">
        <v>101</v>
      </c>
      <c r="B3" s="10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38.25" customHeight="1">
      <c r="A4" s="96" t="s">
        <v>89</v>
      </c>
      <c r="B4" s="96" t="s">
        <v>102</v>
      </c>
      <c r="C4" s="96" t="s">
        <v>103</v>
      </c>
      <c r="D4" s="96" t="s">
        <v>104</v>
      </c>
      <c r="E4" s="96" t="s">
        <v>105</v>
      </c>
      <c r="F4" s="96" t="s">
        <v>106</v>
      </c>
      <c r="G4" s="96" t="s">
        <v>107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38.25" customHeight="1">
      <c r="A5" s="96"/>
      <c r="B5" s="96"/>
      <c r="C5" s="96"/>
      <c r="D5" s="96"/>
      <c r="E5" s="96"/>
      <c r="F5" s="96"/>
      <c r="G5" s="96" t="s">
        <v>108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12.75">
      <c r="A6" s="96"/>
      <c r="B6" s="96"/>
      <c r="C6" s="96"/>
      <c r="D6" s="96"/>
      <c r="E6" s="96"/>
      <c r="F6" s="52"/>
      <c r="G6" s="60">
        <v>2011</v>
      </c>
      <c r="H6" s="60">
        <v>2012</v>
      </c>
      <c r="I6" s="60">
        <v>2013</v>
      </c>
      <c r="J6" s="60">
        <v>2014</v>
      </c>
      <c r="K6" s="60">
        <v>2015</v>
      </c>
      <c r="L6" s="60">
        <v>2016</v>
      </c>
      <c r="M6" s="60">
        <v>2017</v>
      </c>
      <c r="N6" s="60">
        <v>2018</v>
      </c>
      <c r="O6" s="60">
        <v>2019</v>
      </c>
      <c r="P6" s="60">
        <v>2020</v>
      </c>
      <c r="Q6" s="60">
        <v>2021</v>
      </c>
      <c r="R6" s="60">
        <v>2022</v>
      </c>
      <c r="S6" s="60">
        <v>2023</v>
      </c>
      <c r="T6" s="60">
        <v>2024</v>
      </c>
    </row>
    <row r="7" spans="1:20" ht="13.5" customHeight="1">
      <c r="A7" s="99" t="s">
        <v>5</v>
      </c>
      <c r="B7" s="105" t="s">
        <v>109</v>
      </c>
      <c r="C7" s="99" t="s">
        <v>110</v>
      </c>
      <c r="D7" s="106" t="s">
        <v>111</v>
      </c>
      <c r="E7" s="101">
        <f>SUM(F7:K7)</f>
        <v>5992800</v>
      </c>
      <c r="F7" s="101" t="s">
        <v>112</v>
      </c>
      <c r="G7" s="62">
        <f>Ciągłość!F16</f>
        <v>1229087</v>
      </c>
      <c r="H7" s="62">
        <f>Ciągłość!G16</f>
        <v>1257319</v>
      </c>
      <c r="I7" s="62">
        <f>Ciągłość!H16</f>
        <v>1304571</v>
      </c>
      <c r="J7" s="62">
        <f>Ciągłość!I16</f>
        <v>1333652</v>
      </c>
      <c r="K7" s="62">
        <f>Ciągłość!J16</f>
        <v>868171</v>
      </c>
      <c r="L7" s="62">
        <f>Ciągłość!K16</f>
        <v>888149</v>
      </c>
      <c r="M7" s="62">
        <f>Ciągłość!L16</f>
        <v>908577</v>
      </c>
      <c r="N7" s="62">
        <f>Ciągłość!M16</f>
        <v>929474</v>
      </c>
      <c r="O7" s="62">
        <f>Ciągłość!N16</f>
        <v>950851</v>
      </c>
      <c r="P7" s="62">
        <f>Ciągłość!O16</f>
        <v>972721</v>
      </c>
      <c r="Q7" s="62">
        <f>Ciągłość!P16</f>
        <v>995093</v>
      </c>
      <c r="R7" s="62">
        <f>Ciągłość!Q16</f>
        <v>1017982</v>
      </c>
      <c r="S7" s="62">
        <f>Ciągłość!R16</f>
        <v>1041395</v>
      </c>
      <c r="T7" s="62">
        <f>Ciągłość!S16</f>
        <v>1065348</v>
      </c>
    </row>
    <row r="8" spans="1:20" ht="26.25" customHeight="1">
      <c r="A8" s="99"/>
      <c r="B8" s="105"/>
      <c r="C8" s="99">
        <f>Ciągłość!B17</f>
        <v>0</v>
      </c>
      <c r="D8" s="106" t="str">
        <f>Ciągłość!C17</f>
        <v>X</v>
      </c>
      <c r="E8" s="101" t="str">
        <f>Ciągłość!D17</f>
        <v>X</v>
      </c>
      <c r="F8" s="101" t="str">
        <f>Ciągłość!E17</f>
        <v>X</v>
      </c>
      <c r="G8" s="62">
        <f>Ciągłość!F17</f>
        <v>2098250</v>
      </c>
      <c r="H8" s="62">
        <f>Ciągłość!G17</f>
        <v>0</v>
      </c>
      <c r="I8" s="62">
        <f>Ciągłość!H17</f>
        <v>0</v>
      </c>
      <c r="J8" s="62">
        <f>Ciągłość!I17</f>
        <v>0</v>
      </c>
      <c r="K8" s="62">
        <f>Ciągłość!J17</f>
        <v>0</v>
      </c>
      <c r="L8" s="62">
        <f>Ciągłość!K17</f>
        <v>0</v>
      </c>
      <c r="M8" s="62">
        <f>Ciągłość!L17</f>
        <v>0</v>
      </c>
      <c r="N8" s="62">
        <f>Ciągłość!M17</f>
        <v>0</v>
      </c>
      <c r="O8" s="62">
        <f>Ciągłość!N17</f>
        <v>0</v>
      </c>
      <c r="P8" s="62">
        <f>Ciągłość!O17</f>
        <v>0</v>
      </c>
      <c r="Q8" s="62">
        <f>Ciągłość!P17</f>
        <v>0</v>
      </c>
      <c r="R8" s="62">
        <f>Ciągłość!Q17</f>
        <v>0</v>
      </c>
      <c r="S8" s="62">
        <f>Ciągłość!R17</f>
        <v>0</v>
      </c>
      <c r="T8" s="62">
        <f>Ciągłość!S17</f>
        <v>0</v>
      </c>
    </row>
    <row r="9" spans="1:20" ht="29.25" customHeight="1">
      <c r="A9" s="61" t="s">
        <v>13</v>
      </c>
      <c r="B9" s="98" t="s">
        <v>113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39.75" customHeight="1">
      <c r="A10" s="99">
        <v>1</v>
      </c>
      <c r="B10" s="104" t="s">
        <v>114</v>
      </c>
      <c r="C10" s="99" t="s">
        <v>115</v>
      </c>
      <c r="D10" s="99" t="s">
        <v>116</v>
      </c>
      <c r="E10" s="101">
        <f>SUM(F10:G10)</f>
        <v>777123.1</v>
      </c>
      <c r="F10" s="101">
        <v>449443.3</v>
      </c>
      <c r="G10" s="62">
        <v>327679.8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65.25" customHeight="1">
      <c r="A11" s="99"/>
      <c r="B11" s="104"/>
      <c r="C11" s="99"/>
      <c r="D11" s="99"/>
      <c r="E11" s="101"/>
      <c r="F11" s="101"/>
      <c r="G11" s="62">
        <v>327680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39.75" customHeight="1">
      <c r="A12" s="99">
        <v>2</v>
      </c>
      <c r="B12" s="104" t="s">
        <v>117</v>
      </c>
      <c r="C12" s="99" t="s">
        <v>118</v>
      </c>
      <c r="D12" s="99" t="s">
        <v>119</v>
      </c>
      <c r="E12" s="101">
        <f>SUM(F12:T12)</f>
        <v>678553.87</v>
      </c>
      <c r="F12" s="101">
        <v>307746.33</v>
      </c>
      <c r="G12" s="62">
        <v>185403.77</v>
      </c>
      <c r="H12" s="62">
        <v>185403.77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145.5" customHeight="1">
      <c r="A13" s="99"/>
      <c r="B13" s="104"/>
      <c r="C13" s="99"/>
      <c r="D13" s="99"/>
      <c r="E13" s="101"/>
      <c r="F13" s="101"/>
      <c r="G13" s="62">
        <v>185404</v>
      </c>
      <c r="H13" s="62">
        <v>185404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39.75" customHeight="1">
      <c r="A14" s="99">
        <v>3</v>
      </c>
      <c r="B14" s="103" t="s">
        <v>120</v>
      </c>
      <c r="C14" s="99" t="s">
        <v>121</v>
      </c>
      <c r="D14" s="99" t="s">
        <v>122</v>
      </c>
      <c r="E14" s="101">
        <f>SUM(G14:H14)</f>
        <v>430953.80000000005</v>
      </c>
      <c r="F14" s="101">
        <v>0</v>
      </c>
      <c r="G14" s="62">
        <v>291956.2</v>
      </c>
      <c r="H14" s="62">
        <v>138997.6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ht="78" customHeight="1">
      <c r="A15" s="99"/>
      <c r="B15" s="103"/>
      <c r="C15" s="99"/>
      <c r="D15" s="99"/>
      <c r="E15" s="101"/>
      <c r="F15" s="101"/>
      <c r="G15" s="62">
        <v>291856.2</v>
      </c>
      <c r="H15" s="62">
        <v>138997.6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ht="39.75" customHeight="1">
      <c r="A16" s="99">
        <v>4</v>
      </c>
      <c r="B16" s="103" t="s">
        <v>123</v>
      </c>
      <c r="C16" s="99" t="s">
        <v>121</v>
      </c>
      <c r="D16" s="99" t="s">
        <v>122</v>
      </c>
      <c r="E16" s="101">
        <f>SUM(G16:H16)</f>
        <v>818816</v>
      </c>
      <c r="F16" s="101">
        <v>0</v>
      </c>
      <c r="G16" s="62">
        <v>500777</v>
      </c>
      <c r="H16" s="62">
        <v>318039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112.5" customHeight="1">
      <c r="A17" s="99"/>
      <c r="B17" s="103"/>
      <c r="C17" s="99"/>
      <c r="D17" s="99"/>
      <c r="E17" s="101"/>
      <c r="F17" s="101"/>
      <c r="G17" s="62">
        <v>500777</v>
      </c>
      <c r="H17" s="62">
        <v>318039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ht="39.75" customHeight="1">
      <c r="A18" s="99">
        <v>5</v>
      </c>
      <c r="B18" s="100" t="s">
        <v>124</v>
      </c>
      <c r="C18" s="99" t="s">
        <v>121</v>
      </c>
      <c r="D18" s="99" t="s">
        <v>125</v>
      </c>
      <c r="E18" s="101">
        <f>SUM(F18:T18)</f>
        <v>1633803</v>
      </c>
      <c r="F18" s="101">
        <v>0</v>
      </c>
      <c r="G18" s="62">
        <v>100000</v>
      </c>
      <c r="H18" s="62">
        <v>102300</v>
      </c>
      <c r="I18" s="62">
        <v>104653</v>
      </c>
      <c r="J18" s="62">
        <v>107060</v>
      </c>
      <c r="K18" s="62">
        <v>109522</v>
      </c>
      <c r="L18" s="62">
        <v>112410</v>
      </c>
      <c r="M18" s="62">
        <v>114987</v>
      </c>
      <c r="N18" s="62">
        <v>117632</v>
      </c>
      <c r="O18" s="62">
        <v>120400</v>
      </c>
      <c r="P18" s="62">
        <v>123170</v>
      </c>
      <c r="Q18" s="62">
        <v>126003</v>
      </c>
      <c r="R18" s="62">
        <v>128901</v>
      </c>
      <c r="S18" s="62">
        <v>131866</v>
      </c>
      <c r="T18" s="62">
        <v>134899</v>
      </c>
    </row>
    <row r="19" spans="1:20" ht="26.25" customHeight="1">
      <c r="A19" s="99"/>
      <c r="B19" s="100"/>
      <c r="C19" s="99"/>
      <c r="D19" s="99"/>
      <c r="E19" s="101"/>
      <c r="F19" s="10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ht="26.25" customHeight="1">
      <c r="A20" s="99">
        <v>6</v>
      </c>
      <c r="B20" s="100" t="s">
        <v>126</v>
      </c>
      <c r="C20" s="99" t="s">
        <v>121</v>
      </c>
      <c r="D20" s="99" t="s">
        <v>127</v>
      </c>
      <c r="E20" s="101">
        <f>SUM(G20:T20)</f>
        <v>6194093</v>
      </c>
      <c r="F20" s="101">
        <v>0</v>
      </c>
      <c r="G20" s="62">
        <v>380000</v>
      </c>
      <c r="H20" s="62">
        <v>388740</v>
      </c>
      <c r="I20" s="62">
        <v>397681</v>
      </c>
      <c r="J20" s="62">
        <v>406827</v>
      </c>
      <c r="K20" s="62">
        <v>416184</v>
      </c>
      <c r="L20" s="62">
        <v>425756</v>
      </c>
      <c r="M20" s="62">
        <v>435549</v>
      </c>
      <c r="N20" s="62">
        <v>445667</v>
      </c>
      <c r="O20" s="62">
        <v>455915</v>
      </c>
      <c r="P20" s="62">
        <v>466401</v>
      </c>
      <c r="Q20" s="62">
        <v>477128</v>
      </c>
      <c r="R20" s="62">
        <v>488102</v>
      </c>
      <c r="S20" s="62">
        <v>499329</v>
      </c>
      <c r="T20" s="62">
        <v>510814</v>
      </c>
    </row>
    <row r="21" spans="1:20" ht="26.25" customHeight="1">
      <c r="A21" s="99"/>
      <c r="B21" s="100"/>
      <c r="C21" s="99"/>
      <c r="D21" s="99"/>
      <c r="E21" s="101"/>
      <c r="F21" s="10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26.25" customHeight="1">
      <c r="A22" s="99">
        <v>7</v>
      </c>
      <c r="B22" s="100" t="s">
        <v>128</v>
      </c>
      <c r="C22" s="99" t="s">
        <v>121</v>
      </c>
      <c r="D22" s="99" t="s">
        <v>129</v>
      </c>
      <c r="E22" s="101">
        <f>SUM(G22:T22)</f>
        <v>56000</v>
      </c>
      <c r="F22" s="101">
        <v>0</v>
      </c>
      <c r="G22" s="62">
        <v>4000</v>
      </c>
      <c r="H22" s="62">
        <v>4000</v>
      </c>
      <c r="I22" s="62">
        <v>4000</v>
      </c>
      <c r="J22" s="62">
        <v>4000</v>
      </c>
      <c r="K22" s="62">
        <v>4000</v>
      </c>
      <c r="L22" s="62">
        <v>4000</v>
      </c>
      <c r="M22" s="62">
        <v>4000</v>
      </c>
      <c r="N22" s="62">
        <v>4000</v>
      </c>
      <c r="O22" s="62">
        <v>4000</v>
      </c>
      <c r="P22" s="62">
        <v>4000</v>
      </c>
      <c r="Q22" s="62">
        <v>4000</v>
      </c>
      <c r="R22" s="62">
        <v>4000</v>
      </c>
      <c r="S22" s="62">
        <v>4000</v>
      </c>
      <c r="T22" s="62">
        <v>4000</v>
      </c>
    </row>
    <row r="23" spans="1:20" ht="26.25" customHeight="1">
      <c r="A23" s="99"/>
      <c r="B23" s="100"/>
      <c r="C23" s="99"/>
      <c r="D23" s="99"/>
      <c r="E23" s="101"/>
      <c r="F23" s="10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9.5" customHeight="1">
      <c r="A24" s="96" t="s">
        <v>130</v>
      </c>
      <c r="B24" s="96"/>
      <c r="C24" s="102" t="s">
        <v>112</v>
      </c>
      <c r="D24" s="102" t="s">
        <v>112</v>
      </c>
      <c r="E24" s="102">
        <f>SUM(E10,E12,E14,E16,E18,E20,E22)</f>
        <v>10589342.77</v>
      </c>
      <c r="F24" s="102">
        <f>F10+F12+F18+F20</f>
        <v>757189.63</v>
      </c>
      <c r="G24" s="63">
        <f aca="true" t="shared" si="0" ref="G24:T24">SUM(G10,G12,G14,G16,G18,G20,G22)</f>
        <v>1789816.77</v>
      </c>
      <c r="H24" s="63">
        <f t="shared" si="0"/>
        <v>1137480.37</v>
      </c>
      <c r="I24" s="63">
        <f t="shared" si="0"/>
        <v>506334</v>
      </c>
      <c r="J24" s="63">
        <f t="shared" si="0"/>
        <v>517887</v>
      </c>
      <c r="K24" s="63">
        <f t="shared" si="0"/>
        <v>529706</v>
      </c>
      <c r="L24" s="63">
        <f t="shared" si="0"/>
        <v>542166</v>
      </c>
      <c r="M24" s="63">
        <f t="shared" si="0"/>
        <v>554536</v>
      </c>
      <c r="N24" s="63">
        <f t="shared" si="0"/>
        <v>567299</v>
      </c>
      <c r="O24" s="63">
        <f t="shared" si="0"/>
        <v>580315</v>
      </c>
      <c r="P24" s="63">
        <f t="shared" si="0"/>
        <v>593571</v>
      </c>
      <c r="Q24" s="63">
        <f t="shared" si="0"/>
        <v>607131</v>
      </c>
      <c r="R24" s="63">
        <f t="shared" si="0"/>
        <v>621003</v>
      </c>
      <c r="S24" s="63">
        <f t="shared" si="0"/>
        <v>635195</v>
      </c>
      <c r="T24" s="63">
        <f t="shared" si="0"/>
        <v>649713</v>
      </c>
    </row>
    <row r="25" spans="1:20" ht="19.5" customHeight="1">
      <c r="A25" s="96" t="s">
        <v>131</v>
      </c>
      <c r="B25" s="96"/>
      <c r="C25" s="102">
        <f>C11+C13+C19+C21</f>
        <v>0</v>
      </c>
      <c r="D25" s="102">
        <f>D11+D13+D19+D21</f>
        <v>0</v>
      </c>
      <c r="E25" s="102"/>
      <c r="F25" s="102"/>
      <c r="G25" s="63">
        <f aca="true" t="shared" si="1" ref="G25:T25">SUM(G11,G13,G15,G17,G19,G21,G23)</f>
        <v>1305717.2</v>
      </c>
      <c r="H25" s="63">
        <f t="shared" si="1"/>
        <v>642440.6</v>
      </c>
      <c r="I25" s="63">
        <f t="shared" si="1"/>
        <v>0</v>
      </c>
      <c r="J25" s="63">
        <f t="shared" si="1"/>
        <v>0</v>
      </c>
      <c r="K25" s="63">
        <f t="shared" si="1"/>
        <v>0</v>
      </c>
      <c r="L25" s="63">
        <f t="shared" si="1"/>
        <v>0</v>
      </c>
      <c r="M25" s="63">
        <f t="shared" si="1"/>
        <v>0</v>
      </c>
      <c r="N25" s="63">
        <f t="shared" si="1"/>
        <v>0</v>
      </c>
      <c r="O25" s="63">
        <f t="shared" si="1"/>
        <v>0</v>
      </c>
      <c r="P25" s="63">
        <f t="shared" si="1"/>
        <v>0</v>
      </c>
      <c r="Q25" s="63">
        <f t="shared" si="1"/>
        <v>0</v>
      </c>
      <c r="R25" s="63">
        <f t="shared" si="1"/>
        <v>0</v>
      </c>
      <c r="S25" s="63">
        <f t="shared" si="1"/>
        <v>0</v>
      </c>
      <c r="T25" s="63">
        <f t="shared" si="1"/>
        <v>0</v>
      </c>
    </row>
    <row r="26" spans="1:20" ht="39.75" customHeight="1">
      <c r="A26" s="61" t="s">
        <v>21</v>
      </c>
      <c r="B26" s="98" t="s">
        <v>132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65.25" customHeight="1">
      <c r="A27" s="99">
        <v>1</v>
      </c>
      <c r="B27" s="100" t="s">
        <v>133</v>
      </c>
      <c r="C27" s="99" t="s">
        <v>121</v>
      </c>
      <c r="D27" s="99" t="s">
        <v>134</v>
      </c>
      <c r="E27" s="101">
        <f>SUM(F27:T27)</f>
        <v>6888000</v>
      </c>
      <c r="F27" s="101">
        <v>997000</v>
      </c>
      <c r="G27" s="64">
        <v>980000</v>
      </c>
      <c r="H27" s="64">
        <v>700000</v>
      </c>
      <c r="I27" s="64">
        <v>240000</v>
      </c>
      <c r="J27" s="64">
        <v>361000</v>
      </c>
      <c r="K27" s="64">
        <v>361000</v>
      </c>
      <c r="L27" s="64">
        <v>361000</v>
      </c>
      <c r="M27" s="64">
        <v>361000</v>
      </c>
      <c r="N27" s="64">
        <v>361000</v>
      </c>
      <c r="O27" s="64">
        <v>361000</v>
      </c>
      <c r="P27" s="64">
        <v>361000</v>
      </c>
      <c r="Q27" s="64">
        <v>361000</v>
      </c>
      <c r="R27" s="64">
        <v>361000</v>
      </c>
      <c r="S27" s="64">
        <v>361000</v>
      </c>
      <c r="T27" s="64">
        <v>361000</v>
      </c>
    </row>
    <row r="28" spans="1:20" ht="52.5" customHeight="1">
      <c r="A28" s="99"/>
      <c r="B28" s="100"/>
      <c r="C28" s="99"/>
      <c r="D28" s="99"/>
      <c r="E28" s="101"/>
      <c r="F28" s="101"/>
      <c r="G28" s="64">
        <v>0</v>
      </c>
      <c r="H28" s="64">
        <v>0</v>
      </c>
      <c r="I28" s="64">
        <v>0</v>
      </c>
      <c r="J28" s="64">
        <v>361000</v>
      </c>
      <c r="K28" s="64">
        <v>361000</v>
      </c>
      <c r="L28" s="64">
        <v>361000</v>
      </c>
      <c r="M28" s="64">
        <v>361000</v>
      </c>
      <c r="N28" s="64">
        <v>361000</v>
      </c>
      <c r="O28" s="64">
        <v>361000</v>
      </c>
      <c r="P28" s="64">
        <v>361000</v>
      </c>
      <c r="Q28" s="64">
        <v>361000</v>
      </c>
      <c r="R28" s="64">
        <v>361000</v>
      </c>
      <c r="S28" s="64">
        <v>361000</v>
      </c>
      <c r="T28" s="64">
        <v>361000</v>
      </c>
    </row>
    <row r="29" spans="1:20" ht="26.25" customHeight="1">
      <c r="A29" s="99">
        <v>2</v>
      </c>
      <c r="B29" s="100" t="s">
        <v>135</v>
      </c>
      <c r="C29" s="99" t="s">
        <v>121</v>
      </c>
      <c r="D29" s="99" t="s">
        <v>125</v>
      </c>
      <c r="E29" s="101">
        <f>SUM(F29:T29)</f>
        <v>277000</v>
      </c>
      <c r="F29" s="101"/>
      <c r="G29" s="62">
        <v>18000</v>
      </c>
      <c r="H29" s="62">
        <v>19000</v>
      </c>
      <c r="I29" s="62">
        <v>20000</v>
      </c>
      <c r="J29" s="62">
        <v>20000</v>
      </c>
      <c r="K29" s="62">
        <v>20000</v>
      </c>
      <c r="L29" s="62">
        <v>20000</v>
      </c>
      <c r="M29" s="62">
        <v>20000</v>
      </c>
      <c r="N29" s="62">
        <v>20000</v>
      </c>
      <c r="O29" s="62">
        <v>20000</v>
      </c>
      <c r="P29" s="62">
        <v>20000</v>
      </c>
      <c r="Q29" s="62">
        <v>20000</v>
      </c>
      <c r="R29" s="62">
        <v>20000</v>
      </c>
      <c r="S29" s="62">
        <v>20000</v>
      </c>
      <c r="T29" s="62">
        <v>20000</v>
      </c>
    </row>
    <row r="30" spans="1:20" ht="26.25" customHeight="1">
      <c r="A30" s="99"/>
      <c r="B30" s="100"/>
      <c r="C30" s="99"/>
      <c r="D30" s="99"/>
      <c r="E30" s="101"/>
      <c r="F30" s="101"/>
      <c r="G30" s="62">
        <v>18000</v>
      </c>
      <c r="H30" s="62">
        <v>19000</v>
      </c>
      <c r="I30" s="62">
        <v>20000</v>
      </c>
      <c r="J30" s="62">
        <v>20000</v>
      </c>
      <c r="K30" s="62">
        <v>20000</v>
      </c>
      <c r="L30" s="62">
        <v>20000</v>
      </c>
      <c r="M30" s="62">
        <v>20000</v>
      </c>
      <c r="N30" s="62">
        <v>20000</v>
      </c>
      <c r="O30" s="62">
        <v>20000</v>
      </c>
      <c r="P30" s="62">
        <v>20000</v>
      </c>
      <c r="Q30" s="62">
        <v>20000</v>
      </c>
      <c r="R30" s="62">
        <v>20000</v>
      </c>
      <c r="S30" s="62">
        <v>20000</v>
      </c>
      <c r="T30" s="62">
        <v>20000</v>
      </c>
    </row>
    <row r="31" spans="1:20" ht="19.5" customHeight="1">
      <c r="A31" s="96" t="s">
        <v>130</v>
      </c>
      <c r="B31" s="96"/>
      <c r="C31" s="102" t="s">
        <v>112</v>
      </c>
      <c r="D31" s="102" t="s">
        <v>112</v>
      </c>
      <c r="E31" s="102">
        <f>SUM(E27:E29)</f>
        <v>7165000</v>
      </c>
      <c r="F31" s="102">
        <f>SUM(F27:F29)</f>
        <v>997000</v>
      </c>
      <c r="G31" s="63">
        <f aca="true" t="shared" si="2" ref="G31:T31">SUM(G27,G29)</f>
        <v>998000</v>
      </c>
      <c r="H31" s="63">
        <f t="shared" si="2"/>
        <v>719000</v>
      </c>
      <c r="I31" s="63">
        <f t="shared" si="2"/>
        <v>260000</v>
      </c>
      <c r="J31" s="63">
        <f t="shared" si="2"/>
        <v>381000</v>
      </c>
      <c r="K31" s="63">
        <f t="shared" si="2"/>
        <v>381000</v>
      </c>
      <c r="L31" s="63">
        <f t="shared" si="2"/>
        <v>381000</v>
      </c>
      <c r="M31" s="63">
        <f t="shared" si="2"/>
        <v>381000</v>
      </c>
      <c r="N31" s="63">
        <f t="shared" si="2"/>
        <v>381000</v>
      </c>
      <c r="O31" s="63">
        <f t="shared" si="2"/>
        <v>381000</v>
      </c>
      <c r="P31" s="63">
        <f t="shared" si="2"/>
        <v>381000</v>
      </c>
      <c r="Q31" s="63">
        <f t="shared" si="2"/>
        <v>381000</v>
      </c>
      <c r="R31" s="63">
        <f t="shared" si="2"/>
        <v>381000</v>
      </c>
      <c r="S31" s="63">
        <f t="shared" si="2"/>
        <v>381000</v>
      </c>
      <c r="T31" s="63">
        <f t="shared" si="2"/>
        <v>381000</v>
      </c>
    </row>
    <row r="32" spans="1:20" ht="19.5" customHeight="1">
      <c r="A32" s="96" t="s">
        <v>131</v>
      </c>
      <c r="B32" s="96"/>
      <c r="C32" s="102"/>
      <c r="D32" s="102"/>
      <c r="E32" s="102"/>
      <c r="F32" s="102"/>
      <c r="G32" s="63">
        <f aca="true" t="shared" si="3" ref="G32:T32">G28+G29</f>
        <v>18000</v>
      </c>
      <c r="H32" s="63">
        <f t="shared" si="3"/>
        <v>19000</v>
      </c>
      <c r="I32" s="63">
        <f t="shared" si="3"/>
        <v>20000</v>
      </c>
      <c r="J32" s="63">
        <f t="shared" si="3"/>
        <v>381000</v>
      </c>
      <c r="K32" s="63">
        <f t="shared" si="3"/>
        <v>381000</v>
      </c>
      <c r="L32" s="63">
        <f t="shared" si="3"/>
        <v>381000</v>
      </c>
      <c r="M32" s="63">
        <f t="shared" si="3"/>
        <v>381000</v>
      </c>
      <c r="N32" s="63">
        <f t="shared" si="3"/>
        <v>381000</v>
      </c>
      <c r="O32" s="63">
        <f t="shared" si="3"/>
        <v>381000</v>
      </c>
      <c r="P32" s="63">
        <f t="shared" si="3"/>
        <v>381000</v>
      </c>
      <c r="Q32" s="63">
        <f t="shared" si="3"/>
        <v>381000</v>
      </c>
      <c r="R32" s="63">
        <f t="shared" si="3"/>
        <v>381000</v>
      </c>
      <c r="S32" s="63">
        <f t="shared" si="3"/>
        <v>381000</v>
      </c>
      <c r="T32" s="63">
        <f t="shared" si="3"/>
        <v>381000</v>
      </c>
    </row>
    <row r="33" spans="1:20" ht="39.75" customHeight="1">
      <c r="A33" s="61" t="s">
        <v>32</v>
      </c>
      <c r="B33" s="98" t="s">
        <v>136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1:20" ht="26.25" customHeight="1">
      <c r="A34" s="99">
        <v>1</v>
      </c>
      <c r="B34" s="100" t="s">
        <v>137</v>
      </c>
      <c r="C34" s="99" t="s">
        <v>121</v>
      </c>
      <c r="D34" s="99" t="s">
        <v>138</v>
      </c>
      <c r="E34" s="101">
        <f>SUM(G34:K34)</f>
        <v>556793</v>
      </c>
      <c r="F34" s="101">
        <v>23300</v>
      </c>
      <c r="G34" s="62">
        <v>149486</v>
      </c>
      <c r="H34" s="62">
        <v>134258</v>
      </c>
      <c r="I34" s="62">
        <v>129623</v>
      </c>
      <c r="J34" s="62">
        <v>90318</v>
      </c>
      <c r="K34" s="62">
        <v>53108</v>
      </c>
      <c r="L34" s="62">
        <v>51261</v>
      </c>
      <c r="M34" s="62">
        <v>49413</v>
      </c>
      <c r="N34" s="62">
        <v>47566</v>
      </c>
      <c r="O34" s="62"/>
      <c r="P34" s="62"/>
      <c r="Q34" s="62"/>
      <c r="R34" s="62"/>
      <c r="S34" s="62"/>
      <c r="T34" s="62"/>
    </row>
    <row r="35" spans="1:20" ht="26.25" customHeight="1">
      <c r="A35" s="99"/>
      <c r="B35" s="100"/>
      <c r="C35" s="99"/>
      <c r="D35" s="99"/>
      <c r="E35" s="101"/>
      <c r="F35" s="101"/>
      <c r="G35" s="62">
        <v>149486</v>
      </c>
      <c r="H35" s="62">
        <v>134258</v>
      </c>
      <c r="I35" s="62">
        <v>129623</v>
      </c>
      <c r="J35" s="62">
        <v>90318</v>
      </c>
      <c r="K35" s="62">
        <v>53108</v>
      </c>
      <c r="L35" s="62">
        <v>51261</v>
      </c>
      <c r="M35" s="62">
        <v>49413</v>
      </c>
      <c r="N35" s="62">
        <v>47566</v>
      </c>
      <c r="O35" s="62"/>
      <c r="P35" s="62"/>
      <c r="Q35" s="62"/>
      <c r="R35" s="62"/>
      <c r="S35" s="62"/>
      <c r="T35" s="62"/>
    </row>
    <row r="36" spans="1:20" ht="19.5" customHeight="1">
      <c r="A36" s="96" t="s">
        <v>139</v>
      </c>
      <c r="B36" s="96"/>
      <c r="C36" s="60" t="s">
        <v>112</v>
      </c>
      <c r="D36" s="60" t="s">
        <v>112</v>
      </c>
      <c r="E36" s="63">
        <f>SUM(E34:E34)</f>
        <v>556793</v>
      </c>
      <c r="F36" s="63">
        <f>SUM(F34)</f>
        <v>23300</v>
      </c>
      <c r="G36" s="63">
        <f aca="true" t="shared" si="4" ref="G36:T36">SUM(G34:G34)</f>
        <v>149486</v>
      </c>
      <c r="H36" s="63">
        <f t="shared" si="4"/>
        <v>134258</v>
      </c>
      <c r="I36" s="63">
        <f t="shared" si="4"/>
        <v>129623</v>
      </c>
      <c r="J36" s="63">
        <f t="shared" si="4"/>
        <v>90318</v>
      </c>
      <c r="K36" s="63">
        <f t="shared" si="4"/>
        <v>53108</v>
      </c>
      <c r="L36" s="63">
        <f t="shared" si="4"/>
        <v>51261</v>
      </c>
      <c r="M36" s="63">
        <f t="shared" si="4"/>
        <v>49413</v>
      </c>
      <c r="N36" s="63">
        <f t="shared" si="4"/>
        <v>47566</v>
      </c>
      <c r="O36" s="63">
        <f t="shared" si="4"/>
        <v>0</v>
      </c>
      <c r="P36" s="63">
        <f t="shared" si="4"/>
        <v>0</v>
      </c>
      <c r="Q36" s="63">
        <f t="shared" si="4"/>
        <v>0</v>
      </c>
      <c r="R36" s="63">
        <f t="shared" si="4"/>
        <v>0</v>
      </c>
      <c r="S36" s="63">
        <f t="shared" si="4"/>
        <v>0</v>
      </c>
      <c r="T36" s="63">
        <f t="shared" si="4"/>
        <v>0</v>
      </c>
    </row>
    <row r="37" spans="1:20" ht="25.5" customHeight="1">
      <c r="A37" s="97" t="s">
        <v>140</v>
      </c>
      <c r="B37" s="97"/>
      <c r="C37" s="97" t="s">
        <v>112</v>
      </c>
      <c r="D37" s="97" t="s">
        <v>112</v>
      </c>
      <c r="E37" s="94">
        <f>E7+E24+E31+E36</f>
        <v>24303935.77</v>
      </c>
      <c r="F37" s="94">
        <f>SUM(F36,F31,F24)</f>
        <v>1777489.63</v>
      </c>
      <c r="G37" s="65">
        <f aca="true" t="shared" si="5" ref="G37:T37">G7+G24+G31+G34</f>
        <v>4166389.77</v>
      </c>
      <c r="H37" s="65">
        <f t="shared" si="5"/>
        <v>3248057.37</v>
      </c>
      <c r="I37" s="65">
        <f t="shared" si="5"/>
        <v>2200528</v>
      </c>
      <c r="J37" s="65">
        <f t="shared" si="5"/>
        <v>2322857</v>
      </c>
      <c r="K37" s="65">
        <f t="shared" si="5"/>
        <v>1831985</v>
      </c>
      <c r="L37" s="65">
        <f t="shared" si="5"/>
        <v>1862576</v>
      </c>
      <c r="M37" s="65">
        <f t="shared" si="5"/>
        <v>1893526</v>
      </c>
      <c r="N37" s="65">
        <f t="shared" si="5"/>
        <v>1925339</v>
      </c>
      <c r="O37" s="65">
        <f t="shared" si="5"/>
        <v>1912166</v>
      </c>
      <c r="P37" s="65">
        <f t="shared" si="5"/>
        <v>1947292</v>
      </c>
      <c r="Q37" s="65">
        <f t="shared" si="5"/>
        <v>1983224</v>
      </c>
      <c r="R37" s="65">
        <f t="shared" si="5"/>
        <v>2019985</v>
      </c>
      <c r="S37" s="65">
        <f t="shared" si="5"/>
        <v>2057590</v>
      </c>
      <c r="T37" s="65">
        <f t="shared" si="5"/>
        <v>2096061</v>
      </c>
    </row>
    <row r="38" spans="1:20" ht="25.5" customHeight="1">
      <c r="A38" s="95" t="s">
        <v>141</v>
      </c>
      <c r="B38" s="95"/>
      <c r="C38" s="97"/>
      <c r="D38" s="97"/>
      <c r="E38" s="94"/>
      <c r="F38" s="94"/>
      <c r="G38" s="65">
        <f aca="true" t="shared" si="6" ref="G38:T38">G8+G25+G32+G35</f>
        <v>3571453.2</v>
      </c>
      <c r="H38" s="65">
        <f t="shared" si="6"/>
        <v>795698.6</v>
      </c>
      <c r="I38" s="65">
        <f t="shared" si="6"/>
        <v>149623</v>
      </c>
      <c r="J38" s="65">
        <f t="shared" si="6"/>
        <v>471318</v>
      </c>
      <c r="K38" s="65">
        <f t="shared" si="6"/>
        <v>434108</v>
      </c>
      <c r="L38" s="65">
        <f t="shared" si="6"/>
        <v>432261</v>
      </c>
      <c r="M38" s="65">
        <f t="shared" si="6"/>
        <v>430413</v>
      </c>
      <c r="N38" s="65">
        <f t="shared" si="6"/>
        <v>428566</v>
      </c>
      <c r="O38" s="65">
        <f t="shared" si="6"/>
        <v>381000</v>
      </c>
      <c r="P38" s="65">
        <f t="shared" si="6"/>
        <v>381000</v>
      </c>
      <c r="Q38" s="65">
        <f t="shared" si="6"/>
        <v>381000</v>
      </c>
      <c r="R38" s="65">
        <f t="shared" si="6"/>
        <v>381000</v>
      </c>
      <c r="S38" s="65">
        <f t="shared" si="6"/>
        <v>381000</v>
      </c>
      <c r="T38" s="65">
        <f t="shared" si="6"/>
        <v>381000</v>
      </c>
    </row>
    <row r="39" spans="1:16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6" spans="1:2" ht="25.5">
      <c r="A46" s="56" t="s">
        <v>142</v>
      </c>
      <c r="B46" s="56" t="s">
        <v>143</v>
      </c>
    </row>
  </sheetData>
  <sheetProtection selectLockedCells="1" selectUnlockedCells="1"/>
  <mergeCells count="98">
    <mergeCell ref="O1:T1"/>
    <mergeCell ref="A3:B3"/>
    <mergeCell ref="A4:A6"/>
    <mergeCell ref="B4:B6"/>
    <mergeCell ref="C4:C6"/>
    <mergeCell ref="D4:D6"/>
    <mergeCell ref="E4:E6"/>
    <mergeCell ref="F4:F5"/>
    <mergeCell ref="G4:T4"/>
    <mergeCell ref="G5:T5"/>
    <mergeCell ref="D10:D11"/>
    <mergeCell ref="E10:E11"/>
    <mergeCell ref="F10:F11"/>
    <mergeCell ref="A7:A8"/>
    <mergeCell ref="B7:B8"/>
    <mergeCell ref="C7:C8"/>
    <mergeCell ref="D7:D8"/>
    <mergeCell ref="A12:A13"/>
    <mergeCell ref="B12:B13"/>
    <mergeCell ref="C12:C13"/>
    <mergeCell ref="D12:D13"/>
    <mergeCell ref="E7:E8"/>
    <mergeCell ref="F7:F8"/>
    <mergeCell ref="B9:T9"/>
    <mergeCell ref="A10:A11"/>
    <mergeCell ref="B10:B11"/>
    <mergeCell ref="C10:C11"/>
    <mergeCell ref="C16:C17"/>
    <mergeCell ref="D16:D17"/>
    <mergeCell ref="E12:E13"/>
    <mergeCell ref="F12:F13"/>
    <mergeCell ref="A14:A15"/>
    <mergeCell ref="B14:B15"/>
    <mergeCell ref="C14:C15"/>
    <mergeCell ref="D14:D15"/>
    <mergeCell ref="E14:E15"/>
    <mergeCell ref="F14:F15"/>
    <mergeCell ref="E16:E17"/>
    <mergeCell ref="F16:F17"/>
    <mergeCell ref="A18:A19"/>
    <mergeCell ref="B18:B19"/>
    <mergeCell ref="C18:C19"/>
    <mergeCell ref="D18:D19"/>
    <mergeCell ref="E18:E19"/>
    <mergeCell ref="F18:F19"/>
    <mergeCell ref="A16:A17"/>
    <mergeCell ref="B16:B17"/>
    <mergeCell ref="D22:D23"/>
    <mergeCell ref="E22:E23"/>
    <mergeCell ref="F22:F23"/>
    <mergeCell ref="A20:A21"/>
    <mergeCell ref="B20:B21"/>
    <mergeCell ref="C20:C21"/>
    <mergeCell ref="D20:D21"/>
    <mergeCell ref="F27:F28"/>
    <mergeCell ref="A24:B24"/>
    <mergeCell ref="C24:C25"/>
    <mergeCell ref="D24:D25"/>
    <mergeCell ref="E24:E25"/>
    <mergeCell ref="E20:E21"/>
    <mergeCell ref="F20:F21"/>
    <mergeCell ref="A22:A23"/>
    <mergeCell ref="B22:B23"/>
    <mergeCell ref="C22:C23"/>
    <mergeCell ref="C29:C30"/>
    <mergeCell ref="D29:D30"/>
    <mergeCell ref="F24:F25"/>
    <mergeCell ref="A25:B25"/>
    <mergeCell ref="B26:T26"/>
    <mergeCell ref="A27:A28"/>
    <mergeCell ref="B27:B28"/>
    <mergeCell ref="C27:C28"/>
    <mergeCell ref="D27:D28"/>
    <mergeCell ref="E27:E28"/>
    <mergeCell ref="E29:E30"/>
    <mergeCell ref="F29:F30"/>
    <mergeCell ref="A31:B31"/>
    <mergeCell ref="C31:C32"/>
    <mergeCell ref="D31:D32"/>
    <mergeCell ref="E31:E32"/>
    <mergeCell ref="F31:F32"/>
    <mergeCell ref="A32:B32"/>
    <mergeCell ref="A29:A30"/>
    <mergeCell ref="B29:B30"/>
    <mergeCell ref="B33:T33"/>
    <mergeCell ref="A34:A35"/>
    <mergeCell ref="B34:B35"/>
    <mergeCell ref="C34:C35"/>
    <mergeCell ref="D34:D35"/>
    <mergeCell ref="E34:E35"/>
    <mergeCell ref="F34:F35"/>
    <mergeCell ref="E37:E38"/>
    <mergeCell ref="F37:F38"/>
    <mergeCell ref="A38:B38"/>
    <mergeCell ref="A36:B36"/>
    <mergeCell ref="A37:B37"/>
    <mergeCell ref="C37:C38"/>
    <mergeCell ref="D37:D38"/>
  </mergeCells>
  <printOptions horizontalCentered="1"/>
  <pageMargins left="0.31527777777777777" right="0.19652777777777777" top="0.1701388888888889" bottom="0.1597222222222222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="110" zoomScaleSheetLayoutView="110" zoomScalePageLayoutView="0" workbookViewId="0" topLeftCell="I1">
      <selection activeCell="N10" sqref="N10"/>
    </sheetView>
  </sheetViews>
  <sheetFormatPr defaultColWidth="9.00390625" defaultRowHeight="12.75"/>
  <cols>
    <col min="1" max="1" width="9.125" style="67" customWidth="1"/>
    <col min="2" max="2" width="22.25390625" style="67" customWidth="1"/>
    <col min="3" max="3" width="23.25390625" style="67" customWidth="1"/>
    <col min="4" max="4" width="13.375" style="67" customWidth="1"/>
    <col min="5" max="5" width="14.125" style="67" customWidth="1"/>
    <col min="6" max="12" width="10.75390625" style="67" customWidth="1"/>
    <col min="13" max="13" width="11.125" style="67" customWidth="1"/>
    <col min="14" max="19" width="10.75390625" style="67" customWidth="1"/>
    <col min="20" max="16384" width="9.125" style="67" customWidth="1"/>
  </cols>
  <sheetData>
    <row r="1" spans="1:19" ht="12.75" customHeight="1">
      <c r="A1" s="42"/>
      <c r="B1" s="42"/>
      <c r="C1" s="42"/>
      <c r="D1" s="42"/>
      <c r="E1" s="68"/>
      <c r="F1" s="68"/>
      <c r="G1" s="68"/>
      <c r="H1" s="68"/>
      <c r="I1" s="68"/>
      <c r="J1" s="68"/>
      <c r="K1" s="42"/>
      <c r="L1" s="110" t="s">
        <v>155</v>
      </c>
      <c r="M1" s="111"/>
      <c r="N1" s="111"/>
      <c r="O1" s="111"/>
      <c r="P1" s="111"/>
      <c r="Q1" s="111"/>
      <c r="R1" s="111"/>
      <c r="S1" s="111"/>
    </row>
    <row r="2" spans="1:19" ht="13.5">
      <c r="A2" s="69" t="s">
        <v>144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70" customFormat="1" ht="51" customHeight="1">
      <c r="A3" s="109" t="s">
        <v>89</v>
      </c>
      <c r="B3" s="109" t="s">
        <v>102</v>
      </c>
      <c r="C3" s="96" t="s">
        <v>103</v>
      </c>
      <c r="D3" s="96" t="s">
        <v>104</v>
      </c>
      <c r="E3" s="96" t="s">
        <v>105</v>
      </c>
      <c r="F3" s="96" t="s">
        <v>145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2.75">
      <c r="A4" s="109"/>
      <c r="B4" s="109"/>
      <c r="C4" s="96"/>
      <c r="D4" s="96"/>
      <c r="E4" s="96"/>
      <c r="F4" s="71">
        <v>2011</v>
      </c>
      <c r="G4" s="71">
        <v>2012</v>
      </c>
      <c r="H4" s="71">
        <v>2013</v>
      </c>
      <c r="I4" s="71">
        <v>2014</v>
      </c>
      <c r="J4" s="71">
        <v>2015</v>
      </c>
      <c r="K4" s="71">
        <v>2016</v>
      </c>
      <c r="L4" s="71">
        <v>2017</v>
      </c>
      <c r="M4" s="71">
        <v>2018</v>
      </c>
      <c r="N4" s="71">
        <v>2019</v>
      </c>
      <c r="O4" s="71">
        <v>2020</v>
      </c>
      <c r="P4" s="71">
        <v>2021</v>
      </c>
      <c r="Q4" s="71">
        <v>2022</v>
      </c>
      <c r="R4" s="71">
        <v>2023</v>
      </c>
      <c r="S4" s="71">
        <v>2024</v>
      </c>
    </row>
    <row r="5" spans="1:19" ht="24.75" customHeight="1">
      <c r="A5" s="48" t="s">
        <v>5</v>
      </c>
      <c r="B5" s="115" t="s">
        <v>109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24.75" customHeight="1">
      <c r="A6" s="113">
        <v>1</v>
      </c>
      <c r="B6" s="114" t="s">
        <v>146</v>
      </c>
      <c r="C6" s="99" t="s">
        <v>110</v>
      </c>
      <c r="D6" s="113" t="s">
        <v>129</v>
      </c>
      <c r="E6" s="112">
        <f>SUM(F6:J6)</f>
        <v>3640371</v>
      </c>
      <c r="F6" s="72">
        <v>695344</v>
      </c>
      <c r="G6" s="72">
        <v>711337</v>
      </c>
      <c r="H6" s="72">
        <v>727698</v>
      </c>
      <c r="I6" s="72">
        <v>744435</v>
      </c>
      <c r="J6" s="72">
        <v>761557</v>
      </c>
      <c r="K6" s="72">
        <v>779083</v>
      </c>
      <c r="L6" s="72">
        <v>797002</v>
      </c>
      <c r="M6" s="72">
        <v>815333</v>
      </c>
      <c r="N6" s="72">
        <v>834085</v>
      </c>
      <c r="O6" s="72">
        <v>853269</v>
      </c>
      <c r="P6" s="72">
        <v>872894</v>
      </c>
      <c r="Q6" s="72">
        <v>892971</v>
      </c>
      <c r="R6" s="72">
        <v>913509</v>
      </c>
      <c r="S6" s="72">
        <v>934520</v>
      </c>
    </row>
    <row r="7" spans="1:19" ht="24.75" customHeight="1">
      <c r="A7" s="113"/>
      <c r="B7" s="114"/>
      <c r="C7" s="99"/>
      <c r="D7" s="99"/>
      <c r="E7" s="112"/>
      <c r="F7" s="72">
        <v>254000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24.75" customHeight="1">
      <c r="A8" s="113">
        <v>2</v>
      </c>
      <c r="B8" s="114" t="s">
        <v>147</v>
      </c>
      <c r="C8" s="99" t="s">
        <v>110</v>
      </c>
      <c r="D8" s="113" t="s">
        <v>129</v>
      </c>
      <c r="E8" s="112">
        <f>SUM(F8:S8)</f>
        <v>1211736</v>
      </c>
      <c r="F8" s="72">
        <v>74346</v>
      </c>
      <c r="G8" s="72">
        <v>76056</v>
      </c>
      <c r="H8" s="72">
        <v>77806</v>
      </c>
      <c r="I8" s="72">
        <v>79596</v>
      </c>
      <c r="J8" s="72">
        <v>81427</v>
      </c>
      <c r="K8" s="72">
        <v>83300</v>
      </c>
      <c r="L8" s="72">
        <v>85216</v>
      </c>
      <c r="M8" s="72">
        <v>87176</v>
      </c>
      <c r="N8" s="72">
        <v>89181</v>
      </c>
      <c r="O8" s="72">
        <v>91232</v>
      </c>
      <c r="P8" s="72">
        <v>93330</v>
      </c>
      <c r="Q8" s="72">
        <v>95477</v>
      </c>
      <c r="R8" s="72">
        <v>97673</v>
      </c>
      <c r="S8" s="72">
        <v>99920</v>
      </c>
    </row>
    <row r="9" spans="1:19" ht="24.75" customHeight="1">
      <c r="A9" s="113"/>
      <c r="B9" s="114"/>
      <c r="C9" s="99"/>
      <c r="D9" s="113"/>
      <c r="E9" s="112"/>
      <c r="F9" s="72">
        <v>20000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ht="24.75" customHeight="1">
      <c r="A10" s="113">
        <v>3</v>
      </c>
      <c r="B10" s="114" t="s">
        <v>148</v>
      </c>
      <c r="C10" s="113" t="s">
        <v>149</v>
      </c>
      <c r="D10" s="113" t="s">
        <v>150</v>
      </c>
      <c r="E10" s="112">
        <v>22800</v>
      </c>
      <c r="F10" s="72">
        <v>11400</v>
      </c>
      <c r="G10" s="72">
        <v>11400</v>
      </c>
      <c r="H10" s="72">
        <v>0</v>
      </c>
      <c r="I10" s="72">
        <v>0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ht="24.75" customHeight="1">
      <c r="A11" s="113"/>
      <c r="B11" s="114"/>
      <c r="C11" s="113"/>
      <c r="D11" s="113"/>
      <c r="E11" s="11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24.75" customHeight="1">
      <c r="A12" s="113">
        <v>4</v>
      </c>
      <c r="B12" s="114" t="s">
        <v>151</v>
      </c>
      <c r="C12" s="99" t="s">
        <v>110</v>
      </c>
      <c r="D12" s="113" t="s">
        <v>129</v>
      </c>
      <c r="E12" s="112">
        <f>SUM(F12:S12)</f>
        <v>374817</v>
      </c>
      <c r="F12" s="72">
        <v>22997</v>
      </c>
      <c r="G12" s="72">
        <v>23526</v>
      </c>
      <c r="H12" s="72">
        <v>24067</v>
      </c>
      <c r="I12" s="72">
        <v>24621</v>
      </c>
      <c r="J12" s="72">
        <v>25187</v>
      </c>
      <c r="K12" s="72">
        <v>25766</v>
      </c>
      <c r="L12" s="72">
        <v>26359</v>
      </c>
      <c r="M12" s="72">
        <v>26965</v>
      </c>
      <c r="N12" s="72">
        <v>27585</v>
      </c>
      <c r="O12" s="72">
        <v>28220</v>
      </c>
      <c r="P12" s="72">
        <v>28869</v>
      </c>
      <c r="Q12" s="72">
        <v>29534</v>
      </c>
      <c r="R12" s="72">
        <v>30213</v>
      </c>
      <c r="S12" s="72">
        <v>30908</v>
      </c>
    </row>
    <row r="13" spans="1:19" ht="24.75" customHeight="1">
      <c r="A13" s="113"/>
      <c r="B13" s="114"/>
      <c r="C13" s="99"/>
      <c r="D13" s="113"/>
      <c r="E13" s="112"/>
      <c r="F13" s="72">
        <v>4250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24.75" customHeight="1">
      <c r="A14" s="113">
        <v>5</v>
      </c>
      <c r="B14" s="114" t="s">
        <v>152</v>
      </c>
      <c r="C14" s="99" t="s">
        <v>110</v>
      </c>
      <c r="D14" s="113" t="s">
        <v>153</v>
      </c>
      <c r="E14" s="112">
        <f>SUM(F14:S14)</f>
        <v>1820000</v>
      </c>
      <c r="F14" s="72">
        <v>425000</v>
      </c>
      <c r="G14" s="72">
        <v>435000</v>
      </c>
      <c r="H14" s="72">
        <v>475000</v>
      </c>
      <c r="I14" s="72">
        <v>485000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ht="24.75" customHeight="1">
      <c r="A15" s="113"/>
      <c r="B15" s="114"/>
      <c r="C15" s="99"/>
      <c r="D15" s="113"/>
      <c r="E15" s="112"/>
      <c r="F15" s="72">
        <v>1820000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s="75" customFormat="1" ht="19.5" customHeight="1">
      <c r="A16" s="109" t="s">
        <v>130</v>
      </c>
      <c r="B16" s="109"/>
      <c r="C16" s="45" t="s">
        <v>112</v>
      </c>
      <c r="D16" s="45" t="s">
        <v>112</v>
      </c>
      <c r="E16" s="73">
        <f>E6+E8+E10+E12</f>
        <v>5249724</v>
      </c>
      <c r="F16" s="74">
        <f aca="true" t="shared" si="0" ref="F16:S16">F6+F8+F10+F12+F14</f>
        <v>1229087</v>
      </c>
      <c r="G16" s="74">
        <f t="shared" si="0"/>
        <v>1257319</v>
      </c>
      <c r="H16" s="74">
        <f t="shared" si="0"/>
        <v>1304571</v>
      </c>
      <c r="I16" s="74">
        <f t="shared" si="0"/>
        <v>1333652</v>
      </c>
      <c r="J16" s="74">
        <f t="shared" si="0"/>
        <v>868171</v>
      </c>
      <c r="K16" s="74">
        <f t="shared" si="0"/>
        <v>888149</v>
      </c>
      <c r="L16" s="74">
        <f t="shared" si="0"/>
        <v>908577</v>
      </c>
      <c r="M16" s="74">
        <f t="shared" si="0"/>
        <v>929474</v>
      </c>
      <c r="N16" s="74">
        <f t="shared" si="0"/>
        <v>950851</v>
      </c>
      <c r="O16" s="74">
        <f t="shared" si="0"/>
        <v>972721</v>
      </c>
      <c r="P16" s="74">
        <f t="shared" si="0"/>
        <v>995093</v>
      </c>
      <c r="Q16" s="74">
        <f t="shared" si="0"/>
        <v>1017982</v>
      </c>
      <c r="R16" s="74">
        <f t="shared" si="0"/>
        <v>1041395</v>
      </c>
      <c r="S16" s="74">
        <f t="shared" si="0"/>
        <v>1065348</v>
      </c>
    </row>
    <row r="17" spans="1:19" s="75" customFormat="1" ht="19.5" customHeight="1">
      <c r="A17" s="109" t="s">
        <v>131</v>
      </c>
      <c r="B17" s="109"/>
      <c r="C17" s="45" t="s">
        <v>112</v>
      </c>
      <c r="D17" s="45" t="s">
        <v>112</v>
      </c>
      <c r="E17" s="76" t="s">
        <v>112</v>
      </c>
      <c r="F17" s="73">
        <f aca="true" t="shared" si="1" ref="F17:S17">F7+F9+F11+F13+F15</f>
        <v>2098250</v>
      </c>
      <c r="G17" s="73">
        <f t="shared" si="1"/>
        <v>0</v>
      </c>
      <c r="H17" s="73">
        <f t="shared" si="1"/>
        <v>0</v>
      </c>
      <c r="I17" s="73">
        <f t="shared" si="1"/>
        <v>0</v>
      </c>
      <c r="J17" s="73">
        <f t="shared" si="1"/>
        <v>0</v>
      </c>
      <c r="K17" s="73">
        <f t="shared" si="1"/>
        <v>0</v>
      </c>
      <c r="L17" s="73">
        <f t="shared" si="1"/>
        <v>0</v>
      </c>
      <c r="M17" s="73">
        <f t="shared" si="1"/>
        <v>0</v>
      </c>
      <c r="N17" s="73">
        <f t="shared" si="1"/>
        <v>0</v>
      </c>
      <c r="O17" s="73">
        <f t="shared" si="1"/>
        <v>0</v>
      </c>
      <c r="P17" s="73">
        <f t="shared" si="1"/>
        <v>0</v>
      </c>
      <c r="Q17" s="73">
        <f t="shared" si="1"/>
        <v>0</v>
      </c>
      <c r="R17" s="73">
        <f t="shared" si="1"/>
        <v>0</v>
      </c>
      <c r="S17" s="73">
        <f t="shared" si="1"/>
        <v>0</v>
      </c>
    </row>
  </sheetData>
  <sheetProtection selectLockedCells="1" selectUnlockedCells="1"/>
  <mergeCells count="35">
    <mergeCell ref="A3:A4"/>
    <mergeCell ref="B3:B4"/>
    <mergeCell ref="C3:C4"/>
    <mergeCell ref="D3:D4"/>
    <mergeCell ref="E3:E4"/>
    <mergeCell ref="F3:S3"/>
    <mergeCell ref="B8:B9"/>
    <mergeCell ref="C8:C9"/>
    <mergeCell ref="D8:D9"/>
    <mergeCell ref="B5:S5"/>
    <mergeCell ref="A6:A7"/>
    <mergeCell ref="B6:B7"/>
    <mergeCell ref="C6:C7"/>
    <mergeCell ref="D6:D7"/>
    <mergeCell ref="E6:E7"/>
    <mergeCell ref="B12:B13"/>
    <mergeCell ref="C12:C13"/>
    <mergeCell ref="D12:D13"/>
    <mergeCell ref="E8:E9"/>
    <mergeCell ref="A10:A11"/>
    <mergeCell ref="B10:B11"/>
    <mergeCell ref="C10:C11"/>
    <mergeCell ref="D10:D11"/>
    <mergeCell ref="E10:E11"/>
    <mergeCell ref="A8:A9"/>
    <mergeCell ref="A16:B16"/>
    <mergeCell ref="A17:B17"/>
    <mergeCell ref="L1:S1"/>
    <mergeCell ref="E12:E13"/>
    <mergeCell ref="A14:A15"/>
    <mergeCell ref="B14:B15"/>
    <mergeCell ref="C14:C15"/>
    <mergeCell ref="D14:D15"/>
    <mergeCell ref="E14:E15"/>
    <mergeCell ref="A12:A13"/>
  </mergeCells>
  <printOptions/>
  <pageMargins left="0.5298611111111111" right="0.2" top="1" bottom="1" header="0.5118055555555555" footer="0.5118055555555555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Jakosciomierz</cp:lastModifiedBy>
  <cp:lastPrinted>2011-01-04T12:10:06Z</cp:lastPrinted>
  <dcterms:created xsi:type="dcterms:W3CDTF">2012-11-21T20:02:22Z</dcterms:created>
  <dcterms:modified xsi:type="dcterms:W3CDTF">2012-11-21T20:02:22Z</dcterms:modified>
  <cp:category/>
  <cp:version/>
  <cp:contentType/>
  <cp:contentStatus/>
</cp:coreProperties>
</file>